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V:\TIS teenused\Tervisekassa leping ja aruandlus\Aruandlus\2026\"/>
    </mc:Choice>
  </mc:AlternateContent>
  <xr:revisionPtr revIDLastSave="0" documentId="13_ncr:1_{24CFCB1E-3222-4793-A654-CCB49809525B}" xr6:coauthVersionLast="47" xr6:coauthVersionMax="47" xr10:uidLastSave="{00000000-0000-0000-0000-000000000000}"/>
  <bookViews>
    <workbookView xWindow="-120" yWindow="-120" windowWidth="77040" windowHeight="21120" xr2:uid="{03B213EC-D96C-EC47-BAC3-10BF20715B00}"/>
  </bookViews>
  <sheets>
    <sheet name="Lisa 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1" i="4" l="1"/>
  <c r="N30" i="4"/>
  <c r="G32" i="4"/>
  <c r="N38" i="4"/>
  <c r="M38" i="4"/>
  <c r="N33" i="4"/>
  <c r="M33" i="4"/>
  <c r="M30" i="4"/>
  <c r="M22" i="4"/>
  <c r="M16" i="4"/>
  <c r="N7" i="4"/>
  <c r="M7" i="4"/>
  <c r="N4" i="4"/>
  <c r="M4" i="4"/>
  <c r="H22" i="4"/>
  <c r="J22" i="4" s="1"/>
  <c r="G22" i="4"/>
  <c r="F22" i="4"/>
  <c r="Q26" i="4"/>
  <c r="Q27" i="4"/>
  <c r="Q28" i="4"/>
  <c r="I28" i="4"/>
  <c r="I27" i="4"/>
  <c r="V27" i="4" s="1"/>
  <c r="I26" i="4"/>
  <c r="S26" i="4"/>
  <c r="T26" i="4"/>
  <c r="U26" i="4"/>
  <c r="V26" i="4"/>
  <c r="S27" i="4"/>
  <c r="T27" i="4"/>
  <c r="U27" i="4"/>
  <c r="S28" i="4"/>
  <c r="T28" i="4"/>
  <c r="U28" i="4"/>
  <c r="V28" i="4"/>
  <c r="I25" i="4"/>
  <c r="I24" i="4"/>
  <c r="I23" i="4"/>
  <c r="I22" i="4" s="1"/>
  <c r="N22" i="4"/>
  <c r="N16" i="4"/>
  <c r="J26" i="4"/>
  <c r="W26" i="4" s="1"/>
  <c r="J27" i="4"/>
  <c r="W27" i="4" s="1"/>
  <c r="J28" i="4"/>
  <c r="W28" i="4" s="1"/>
  <c r="R27" i="4" l="1"/>
  <c r="R26" i="4"/>
  <c r="R28" i="4"/>
  <c r="Q11" i="4"/>
  <c r="I11" i="4"/>
  <c r="I14" i="4" l="1"/>
  <c r="H14" i="4"/>
  <c r="Q23" i="4"/>
  <c r="Q39" i="4"/>
  <c r="Q37" i="4"/>
  <c r="Q36" i="4"/>
  <c r="Q35" i="4"/>
  <c r="Q34" i="4"/>
  <c r="Q33" i="4" s="1"/>
  <c r="Q32" i="4"/>
  <c r="Q31" i="4"/>
  <c r="Q29" i="4"/>
  <c r="Q25" i="4"/>
  <c r="Q24" i="4"/>
  <c r="Q21" i="4"/>
  <c r="Q20" i="4"/>
  <c r="Q19" i="4"/>
  <c r="Q18" i="4"/>
  <c r="Q17" i="4"/>
  <c r="Q15" i="4"/>
  <c r="Q14" i="4"/>
  <c r="Q13" i="4"/>
  <c r="Q12" i="4"/>
  <c r="Q10" i="4"/>
  <c r="Q9" i="4"/>
  <c r="Q8" i="4"/>
  <c r="Q6" i="4"/>
  <c r="Q5" i="4"/>
  <c r="Q4" i="4" s="1"/>
  <c r="Q16" i="4" l="1"/>
  <c r="Q22" i="4"/>
  <c r="W22" i="4" s="1"/>
  <c r="Q7" i="4"/>
  <c r="Q38" i="4"/>
  <c r="Q30" i="4"/>
  <c r="T39" i="4"/>
  <c r="V37" i="4"/>
  <c r="U37" i="4"/>
  <c r="T37" i="4"/>
  <c r="S37" i="4"/>
  <c r="T34" i="4"/>
  <c r="V29" i="4"/>
  <c r="U29" i="4"/>
  <c r="T29" i="4"/>
  <c r="S29" i="4"/>
  <c r="V21" i="4"/>
  <c r="U21" i="4"/>
  <c r="T21" i="4"/>
  <c r="S21" i="4"/>
  <c r="T19" i="4"/>
  <c r="V17" i="4"/>
  <c r="U17" i="4"/>
  <c r="T17" i="4"/>
  <c r="V15" i="4"/>
  <c r="U15" i="4"/>
  <c r="T15" i="4"/>
  <c r="S15" i="4"/>
  <c r="V14" i="4"/>
  <c r="U14" i="4"/>
  <c r="T14" i="4"/>
  <c r="S14" i="4"/>
  <c r="S13" i="4"/>
  <c r="S12" i="4"/>
  <c r="U10" i="4"/>
  <c r="T9" i="4"/>
  <c r="S9" i="4"/>
  <c r="O38" i="4"/>
  <c r="P38" i="4"/>
  <c r="O33" i="4"/>
  <c r="P33" i="4"/>
  <c r="O30" i="4"/>
  <c r="P30" i="4"/>
  <c r="O22" i="4"/>
  <c r="P22" i="4"/>
  <c r="O16" i="4"/>
  <c r="P16" i="4"/>
  <c r="O7" i="4"/>
  <c r="P7" i="4"/>
  <c r="P4" i="4"/>
  <c r="O4" i="4"/>
  <c r="N42" i="4" l="1"/>
  <c r="O42" i="4"/>
  <c r="P42" i="4"/>
  <c r="Q42" i="4"/>
  <c r="M42" i="4"/>
  <c r="E33" i="4" l="1"/>
  <c r="D33" i="4"/>
  <c r="E30" i="4"/>
  <c r="G30" i="4"/>
  <c r="T30" i="4" s="1"/>
  <c r="D30" i="4"/>
  <c r="T32" i="4"/>
  <c r="F32" i="4"/>
  <c r="S32" i="4" s="1"/>
  <c r="I6" i="4"/>
  <c r="V6" i="4" s="1"/>
  <c r="E7" i="4"/>
  <c r="D7" i="4"/>
  <c r="E4" i="4"/>
  <c r="D4" i="4"/>
  <c r="J14" i="4"/>
  <c r="R14" i="4" s="1"/>
  <c r="B14" i="4"/>
  <c r="G13" i="4"/>
  <c r="T13" i="4" s="1"/>
  <c r="G12" i="4"/>
  <c r="T12" i="4" s="1"/>
  <c r="G11" i="4"/>
  <c r="T11" i="4" s="1"/>
  <c r="H11" i="4"/>
  <c r="U11" i="4" s="1"/>
  <c r="V11" i="4"/>
  <c r="F11" i="4"/>
  <c r="S11" i="4" s="1"/>
  <c r="I10" i="4"/>
  <c r="V10" i="4" s="1"/>
  <c r="I9" i="4"/>
  <c r="H9" i="4"/>
  <c r="U9" i="4" s="1"/>
  <c r="B9" i="4"/>
  <c r="I8" i="4"/>
  <c r="V8" i="4" s="1"/>
  <c r="H8" i="4"/>
  <c r="U8" i="4" s="1"/>
  <c r="G8" i="4"/>
  <c r="T8" i="4" s="1"/>
  <c r="F8" i="4"/>
  <c r="S8" i="4" s="1"/>
  <c r="B8" i="4"/>
  <c r="I13" i="4"/>
  <c r="V13" i="4" s="1"/>
  <c r="H13" i="4"/>
  <c r="U13" i="4" s="1"/>
  <c r="B13" i="4"/>
  <c r="I12" i="4"/>
  <c r="H12" i="4"/>
  <c r="U12" i="4" s="1"/>
  <c r="B12" i="4"/>
  <c r="I36" i="4"/>
  <c r="V36" i="4" s="1"/>
  <c r="H36" i="4"/>
  <c r="U36" i="4" s="1"/>
  <c r="G36" i="4"/>
  <c r="T36" i="4" s="1"/>
  <c r="F36" i="4"/>
  <c r="S36" i="4" s="1"/>
  <c r="I35" i="4"/>
  <c r="V35" i="4" s="1"/>
  <c r="H35" i="4"/>
  <c r="U35" i="4" s="1"/>
  <c r="G35" i="4"/>
  <c r="T35" i="4" s="1"/>
  <c r="F35" i="4"/>
  <c r="S35" i="4" s="1"/>
  <c r="B36" i="4"/>
  <c r="F34" i="4"/>
  <c r="S34" i="4" s="1"/>
  <c r="I34" i="4"/>
  <c r="V34" i="4" s="1"/>
  <c r="H34" i="4"/>
  <c r="U34" i="4" s="1"/>
  <c r="B35" i="4"/>
  <c r="F39" i="4"/>
  <c r="S39" i="4" s="1"/>
  <c r="G20" i="4"/>
  <c r="T20" i="4" s="1"/>
  <c r="F20" i="4"/>
  <c r="S20" i="4" s="1"/>
  <c r="I20" i="4"/>
  <c r="V20" i="4" s="1"/>
  <c r="H20" i="4"/>
  <c r="U20" i="4" s="1"/>
  <c r="B20" i="4"/>
  <c r="F19" i="4"/>
  <c r="S19" i="4" s="1"/>
  <c r="F17" i="4"/>
  <c r="S17" i="4" s="1"/>
  <c r="B37" i="4"/>
  <c r="I32" i="4"/>
  <c r="V32" i="4" s="1"/>
  <c r="H32" i="4"/>
  <c r="U32" i="4" s="1"/>
  <c r="B32" i="4"/>
  <c r="I39" i="4"/>
  <c r="V39" i="4" s="1"/>
  <c r="H39" i="4"/>
  <c r="U39" i="4" s="1"/>
  <c r="G6" i="4"/>
  <c r="T6" i="4" s="1"/>
  <c r="H6" i="4"/>
  <c r="U6" i="4" s="1"/>
  <c r="F6" i="4"/>
  <c r="S6" i="4" s="1"/>
  <c r="G5" i="4"/>
  <c r="T5" i="4" s="1"/>
  <c r="H5" i="4"/>
  <c r="U5" i="4" s="1"/>
  <c r="I5" i="4"/>
  <c r="V5" i="4" s="1"/>
  <c r="F5" i="4"/>
  <c r="S5" i="4" s="1"/>
  <c r="B6" i="4"/>
  <c r="T31" i="4"/>
  <c r="F31" i="4"/>
  <c r="F30" i="4" s="1"/>
  <c r="S30" i="4" s="1"/>
  <c r="T25" i="4"/>
  <c r="S25" i="4"/>
  <c r="T24" i="4"/>
  <c r="S24" i="4"/>
  <c r="T23" i="4"/>
  <c r="S23" i="4"/>
  <c r="G18" i="4"/>
  <c r="T18" i="4" s="1"/>
  <c r="F18" i="4"/>
  <c r="S18" i="4" s="1"/>
  <c r="G10" i="4"/>
  <c r="T10" i="4" s="1"/>
  <c r="F10" i="4"/>
  <c r="S10" i="4" s="1"/>
  <c r="S31" i="4" l="1"/>
  <c r="F7" i="4"/>
  <c r="S7" i="4" s="1"/>
  <c r="G33" i="4"/>
  <c r="T33" i="4" s="1"/>
  <c r="W14" i="4"/>
  <c r="H33" i="4"/>
  <c r="U33" i="4" s="1"/>
  <c r="G7" i="4"/>
  <c r="T7" i="4" s="1"/>
  <c r="F33" i="4"/>
  <c r="S33" i="4" s="1"/>
  <c r="I33" i="4"/>
  <c r="V33" i="4" s="1"/>
  <c r="J9" i="4"/>
  <c r="R9" i="4" s="1"/>
  <c r="V9" i="4"/>
  <c r="I7" i="4"/>
  <c r="V7" i="4" s="1"/>
  <c r="H7" i="4"/>
  <c r="U7" i="4" s="1"/>
  <c r="J12" i="4"/>
  <c r="R12" i="4" s="1"/>
  <c r="V12" i="4"/>
  <c r="J13" i="4"/>
  <c r="R13" i="4" s="1"/>
  <c r="J8" i="4"/>
  <c r="R8" i="4" s="1"/>
  <c r="J32" i="4"/>
  <c r="R32" i="4" s="1"/>
  <c r="J36" i="4"/>
  <c r="R36" i="4" s="1"/>
  <c r="J20" i="4"/>
  <c r="R20" i="4" s="1"/>
  <c r="J35" i="4"/>
  <c r="R35" i="4" s="1"/>
  <c r="J37" i="4"/>
  <c r="R37" i="4" s="1"/>
  <c r="G4" i="4"/>
  <c r="T4" i="4" s="1"/>
  <c r="I4" i="4"/>
  <c r="V4" i="4" s="1"/>
  <c r="H4" i="4"/>
  <c r="U4" i="4" s="1"/>
  <c r="F4" i="4"/>
  <c r="S4" i="4" s="1"/>
  <c r="W13" i="4" l="1"/>
  <c r="W8" i="4"/>
  <c r="W9" i="4"/>
  <c r="W20" i="4"/>
  <c r="W12" i="4"/>
  <c r="W35" i="4"/>
  <c r="W36" i="4"/>
  <c r="W37" i="4"/>
  <c r="W32" i="4"/>
  <c r="J6" i="4"/>
  <c r="R6" i="4" s="1"/>
  <c r="W6" i="4" l="1"/>
  <c r="I19" i="4"/>
  <c r="V19" i="4" s="1"/>
  <c r="J17" i="4"/>
  <c r="R17" i="4" s="1"/>
  <c r="W17" i="4" l="1"/>
  <c r="J15" i="4"/>
  <c r="R15" i="4" s="1"/>
  <c r="B15" i="4"/>
  <c r="W15" i="4" l="1"/>
  <c r="J39" i="4"/>
  <c r="R39" i="4" s="1"/>
  <c r="R38" i="4" s="1"/>
  <c r="B39" i="4"/>
  <c r="I38" i="4"/>
  <c r="V38" i="4" s="1"/>
  <c r="H38" i="4"/>
  <c r="U38" i="4" s="1"/>
  <c r="G38" i="4"/>
  <c r="T38" i="4" s="1"/>
  <c r="F38" i="4"/>
  <c r="S38" i="4" s="1"/>
  <c r="E38" i="4"/>
  <c r="D38" i="4"/>
  <c r="B38" i="4"/>
  <c r="J34" i="4"/>
  <c r="R34" i="4" s="1"/>
  <c r="R33" i="4" s="1"/>
  <c r="B34" i="4"/>
  <c r="B33" i="4"/>
  <c r="I31" i="4"/>
  <c r="J31" i="4" s="1"/>
  <c r="B31" i="4"/>
  <c r="B30" i="4"/>
  <c r="J29" i="4"/>
  <c r="R29" i="4" s="1"/>
  <c r="B29" i="4"/>
  <c r="V25" i="4"/>
  <c r="U25" i="4"/>
  <c r="B25" i="4"/>
  <c r="V24" i="4"/>
  <c r="U24" i="4"/>
  <c r="B24" i="4"/>
  <c r="V23" i="4"/>
  <c r="U23" i="4"/>
  <c r="B23" i="4"/>
  <c r="E22" i="4"/>
  <c r="D22" i="4"/>
  <c r="B22" i="4"/>
  <c r="J21" i="4"/>
  <c r="R21" i="4" s="1"/>
  <c r="B21" i="4"/>
  <c r="H19" i="4"/>
  <c r="U19" i="4" s="1"/>
  <c r="B19" i="4"/>
  <c r="I18" i="4"/>
  <c r="V18" i="4" s="1"/>
  <c r="H18" i="4"/>
  <c r="U18" i="4" s="1"/>
  <c r="B18" i="4"/>
  <c r="B17" i="4"/>
  <c r="E16" i="4"/>
  <c r="D16" i="4"/>
  <c r="B16" i="4"/>
  <c r="B11" i="4"/>
  <c r="B10" i="4"/>
  <c r="B7" i="4"/>
  <c r="B5" i="4"/>
  <c r="B4" i="4"/>
  <c r="Q40" i="4" l="1"/>
  <c r="Q41" i="4" s="1"/>
  <c r="V31" i="4"/>
  <c r="I30" i="4"/>
  <c r="V30" i="4" s="1"/>
  <c r="W29" i="4"/>
  <c r="W39" i="4"/>
  <c r="W21" i="4"/>
  <c r="P40" i="4"/>
  <c r="P41" i="4" s="1"/>
  <c r="O40" i="4"/>
  <c r="O41" i="4" s="1"/>
  <c r="N40" i="4"/>
  <c r="M40" i="4"/>
  <c r="U31" i="4"/>
  <c r="H30" i="4"/>
  <c r="U30" i="4" s="1"/>
  <c r="W34" i="4"/>
  <c r="G16" i="4"/>
  <c r="T16" i="4" s="1"/>
  <c r="J11" i="4"/>
  <c r="R11" i="4" s="1"/>
  <c r="J19" i="4"/>
  <c r="R19" i="4" s="1"/>
  <c r="J24" i="4"/>
  <c r="R24" i="4" s="1"/>
  <c r="J25" i="4"/>
  <c r="R25" i="4" s="1"/>
  <c r="H16" i="4"/>
  <c r="U16" i="4" s="1"/>
  <c r="G40" i="4"/>
  <c r="I16" i="4"/>
  <c r="V16" i="4" s="1"/>
  <c r="F16" i="4"/>
  <c r="S16" i="4" s="1"/>
  <c r="J33" i="4"/>
  <c r="W33" i="4" s="1"/>
  <c r="F40" i="4"/>
  <c r="H40" i="4"/>
  <c r="I40" i="4"/>
  <c r="U22" i="4"/>
  <c r="V22" i="4"/>
  <c r="J5" i="4"/>
  <c r="R5" i="4" s="1"/>
  <c r="R4" i="4" s="1"/>
  <c r="J38" i="4"/>
  <c r="W38" i="4" s="1"/>
  <c r="S22" i="4"/>
  <c r="T22" i="4"/>
  <c r="J18" i="4"/>
  <c r="R18" i="4" s="1"/>
  <c r="R16" i="4" s="1"/>
  <c r="J10" i="4"/>
  <c r="R10" i="4" s="1"/>
  <c r="J23" i="4"/>
  <c r="R23" i="4" s="1"/>
  <c r="R31" i="4"/>
  <c r="R30" i="4" s="1"/>
  <c r="R7" i="4" l="1"/>
  <c r="N41" i="4"/>
  <c r="T40" i="4"/>
  <c r="R22" i="4"/>
  <c r="J40" i="4"/>
  <c r="W19" i="4"/>
  <c r="W31" i="4"/>
  <c r="W24" i="4"/>
  <c r="W11" i="4"/>
  <c r="S40" i="4"/>
  <c r="M41" i="4"/>
  <c r="W23" i="4"/>
  <c r="W10" i="4"/>
  <c r="J30" i="4"/>
  <c r="W30" i="4" s="1"/>
  <c r="W18" i="4"/>
  <c r="W25" i="4"/>
  <c r="W5" i="4"/>
  <c r="J7" i="4"/>
  <c r="W7" i="4" s="1"/>
  <c r="G42" i="4"/>
  <c r="T42" i="4" s="1"/>
  <c r="I42" i="4"/>
  <c r="I41" i="4" s="1"/>
  <c r="H42" i="4"/>
  <c r="H41" i="4" s="1"/>
  <c r="J16" i="4"/>
  <c r="W16" i="4" s="1"/>
  <c r="F42" i="4"/>
  <c r="S42" i="4" s="1"/>
  <c r="J4" i="4"/>
  <c r="W4" i="4" s="1"/>
  <c r="R40" i="4" l="1"/>
  <c r="G41" i="4"/>
  <c r="T41" i="4" s="1"/>
  <c r="J42" i="4"/>
  <c r="J41" i="4" s="1"/>
  <c r="R42" i="4" l="1"/>
  <c r="R41" i="4" s="1"/>
  <c r="F41" i="4"/>
  <c r="S4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Kirsika Nahkur</author>
  </authors>
  <commentList>
    <comment ref="G34" authorId="0" shapeId="0" xr:uid="{C4363817-58A2-4B4C-8DC9-F57F238EAE41}">
      <text>
        <r>
          <rPr>
            <b/>
            <sz val="9"/>
            <color rgb="FF000000"/>
            <rFont val="Segoe UI"/>
            <family val="2"/>
            <charset val="1"/>
          </rPr>
          <t>Kirsika Nahkur:</t>
        </r>
        <r>
          <rPr>
            <sz val="9"/>
            <color rgb="FF000000"/>
            <rFont val="Segoe UI"/>
            <family val="2"/>
            <charset val="1"/>
          </rPr>
          <t xml:space="preserve">
</t>
        </r>
        <r>
          <rPr>
            <sz val="9"/>
            <color rgb="FF000000"/>
            <rFont val="Segoe UI"/>
            <family val="2"/>
            <charset val="1"/>
          </rPr>
          <t>27.04 arenduskomisjoni otsus</t>
        </r>
      </text>
    </comment>
  </commentList>
</comments>
</file>

<file path=xl/sharedStrings.xml><?xml version="1.0" encoding="utf-8"?>
<sst xmlns="http://schemas.openxmlformats.org/spreadsheetml/2006/main" count="115" uniqueCount="77">
  <si>
    <r>
      <t xml:space="preserve">Tootetiim 
       </t>
    </r>
    <r>
      <rPr>
        <sz val="11"/>
        <color theme="0"/>
        <rFont val="Raleway Regular"/>
      </rPr>
      <t>Investeeringu täpsustus</t>
    </r>
  </si>
  <si>
    <t>Summa</t>
  </si>
  <si>
    <t>Initsiatiivi staatus***</t>
  </si>
  <si>
    <t>Märkus</t>
  </si>
  <si>
    <t>Suunamised</t>
  </si>
  <si>
    <t>Tervisejuhtimise töölaud</t>
  </si>
  <si>
    <t>Terviseportaal</t>
  </si>
  <si>
    <t>Tööjõukulu kokku (PEX)</t>
  </si>
  <si>
    <t>Investeering (CAPEX)</t>
  </si>
  <si>
    <t>KOKKU (kvartali kaupa)</t>
  </si>
  <si>
    <t>FC*</t>
  </si>
  <si>
    <t xml:space="preserve"> Andmelaod ja analüütika</t>
  </si>
  <si>
    <t>Personaalmeditsiin</t>
  </si>
  <si>
    <t xml:space="preserve">
*Eesmärgiga viia finantsjuhtimine ning selle toetavad arendustööd võimalikult täpseks, on rakendatud kvartaalne valideerimine vastu aasta prognoosi. Kasutusel on järgnevad lühendid: FC - prognoos, ACT - Actual, ehk reaalne täitmine, kinnitatud arvete ja väljamakstud palkade põhjal. RFC - Rolling Forecast, ehk prognoos, mis on täpsustatud olemasolevaid tingimusi arvestades.
**Eelarvestatud tööjõukulu hõlmab personali, kes on määratud konkreetse asutuse juhtimiseks seotud toodetele, kuid ei ole veel ühegi projekti koosseisus planeeritud.</t>
  </si>
  <si>
    <t>***Initsaitiivid, mille staatus on "Kinnitatud, kuid ootel", "Idee",  "Pausil"  või "Tühistatud" alt kulusid ei tehta ning nende eelarve ridu ei tohi kasutada. Iga kvaratali alguses otsustatakse tuginedes arendusportfelli prioriteetidele, eelarve kasutusele ja eelarve võimalustele, kas ja milliste initsiatiividega  alustatakse</t>
  </si>
  <si>
    <t>Eelarvestatud tootetiim, TEHIK tööjõukulu** (tooteomanik 1,0 FTE)</t>
  </si>
  <si>
    <t>Lisa 2 – Tervisekassa arendusprojektide loetelu ja eelarve</t>
  </si>
  <si>
    <t>II PA (KM-ta)</t>
  </si>
  <si>
    <t>I PA (KM-ta)</t>
  </si>
  <si>
    <t>PROJ-5106 Tervisekassa andmelao ("STEEL") jätkuarendused,  (AOT alategevus V) (2026) tööjõukulu</t>
  </si>
  <si>
    <t>PROJ-5106 Tervisekassa andmelao ("STEEL") Vertica litsentsid</t>
  </si>
  <si>
    <t>PROJ-5529 TJT kohandamine väikestele ekraanidele</t>
  </si>
  <si>
    <t>Ravimilahendused</t>
  </si>
  <si>
    <t>Muud</t>
  </si>
  <si>
    <t>PROJ-5353 Ligipääsude lahendus TJTs</t>
  </si>
  <si>
    <t>PROJ-5351 Platvormistamine</t>
  </si>
  <si>
    <t>PROJ-5568 ÜDR mikroteenuste arhitektuuri kaasajastamine; jätkuarendused</t>
  </si>
  <si>
    <t>PROJ-5496 Analüütika ja CMSi jätkuarendused terviseportaalis 2026</t>
  </si>
  <si>
    <t>PROJ-5347 Teavitused terviseportaalis - arenduste jätk 2026</t>
  </si>
  <si>
    <t>PROJ-4940 Ultraheli uuringud ÜDRi</t>
  </si>
  <si>
    <t>PROJ-5567 Raseduse fakti tuvastamine TIS dokumentide kaudu</t>
  </si>
  <si>
    <t>PROJ-5521 Retseptide ja väljaostetud ravimite jäägi ülevaade (ravijärgimuse suurendamine)</t>
  </si>
  <si>
    <t>PROJ-5520 Eriliiki retseptid ravimiskeemis ja TJTs</t>
  </si>
  <si>
    <t>PROJ-5242 Ravimiskeemi kasutajakogemuse parendamine</t>
  </si>
  <si>
    <t>PROJ-5460 E-konsultatsiooni vastajate koormuse juhtimise lahendus 2026</t>
  </si>
  <si>
    <t>PROJ-5412 Radioloogiliste uuringute uuele standardile üleviimine 2026</t>
  </si>
  <si>
    <t>PROJ-5410 Radioloogiliste uuringute tellimuste loendite implementeerimine CDA-l 2026</t>
  </si>
  <si>
    <t>PROJ-5410 TEHIK tööjõukulu (analüütikud 0,1FTE)</t>
  </si>
  <si>
    <t>PROJ-5313 E-konsultatsiooni lahenduse loomine 2026</t>
  </si>
  <si>
    <t>PROJ-5412 TEHIK tööjõukulu (analüütikud 0,3FTE)</t>
  </si>
  <si>
    <t>PROJ-5313 TEHIK tööjõukulu (analüütikud 0,1FTE)</t>
  </si>
  <si>
    <t>PROJ-5250 Personaalmeditsiini rakendamine ja IT-taristu jätkuarendused lähtuvalt rinnavähi PRS teenuse vajadustest 2026</t>
  </si>
  <si>
    <t>PROJ-5250  TEHIK tööjõukulu ( tooteomanik + testija 1,3 FTE)</t>
  </si>
  <si>
    <t>Kvartal 1 (eelarvestatud, KM-ga €)</t>
  </si>
  <si>
    <t>Kvartal 2 (eelarvestatud, KM-ga €)</t>
  </si>
  <si>
    <t>Kvartal 3 (eelarvestatud, KM-ga €)</t>
  </si>
  <si>
    <t>Kvartal 4 (eelarvestatud, KM-ga €)</t>
  </si>
  <si>
    <t>Kinnitatud</t>
  </si>
  <si>
    <t>ACT</t>
  </si>
  <si>
    <t>Kvartal 1 (täitmine, KM-ga €)</t>
  </si>
  <si>
    <t>Kvartal 2 (täitmine, KM-ga €)</t>
  </si>
  <si>
    <t>Kvartal 3 (täitmine, KM-ga €)</t>
  </si>
  <si>
    <t>Kvartal 4 (täitmine, KM-ga €)</t>
  </si>
  <si>
    <t>2026 täitmine kokku (KM-ga €)</t>
  </si>
  <si>
    <t>Jääk</t>
  </si>
  <si>
    <t>Kvartal 1 (täitmine %)</t>
  </si>
  <si>
    <t>Kvartal 2 (täitmine %)</t>
  </si>
  <si>
    <t>Kvartal 3 (täitmine %)</t>
  </si>
  <si>
    <t>Kvartal 4 (täitmine %)</t>
  </si>
  <si>
    <t>2026 kokku (täitmine %)</t>
  </si>
  <si>
    <t>PROJ-5613 - TJT jõudluse ja töökindluse parandamine</t>
  </si>
  <si>
    <t>PROJ-5614 - TJT monitooringu ja analüütika lahendus</t>
  </si>
  <si>
    <t>PROJ-5612 - TJT tagasisidest tulenevad funktsionaalsuste parandused ja täiendused</t>
  </si>
  <si>
    <t>Lisakommentaar</t>
  </si>
  <si>
    <t>26 mai 2026  OK2 sisseostetava teenuse eelarve suurendamine	+ 45 000 €</t>
  </si>
  <si>
    <t>26 mai 2026  OK2 sisseostetava teenuse eelarve suurendamine	+ 70 000 €</t>
  </si>
  <si>
    <t>06 juuli 2026 OK2 eelarve suurendamise otsust kajastame uuendatud Lisa 2-s</t>
  </si>
  <si>
    <t>26 mai 2026  OK2 tööjõukulu eelarve suurendamine	+ 19 100 €</t>
  </si>
  <si>
    <t>13 mai 2026  OK2 sisseostetava teenuse eelarve vähendamine	- 31 600 €</t>
  </si>
  <si>
    <t>13 mai 2026  OK2 sisseostetava teenuse eelarve vähendamine	- 116 000 €</t>
  </si>
  <si>
    <t>13 mai 2026  OK2 sisseostetava teenuse eelarve vähendamine	- 258 000 €</t>
  </si>
  <si>
    <t>13 mai 2026  OK2 uue projekti eelarve kinnitamine	 120 000 €</t>
  </si>
  <si>
    <t>13 mai 2026  OK2 uue projekti eelarve kinnitamine 	60 000 €</t>
  </si>
  <si>
    <t>13 mai 2026  OK2 uue projekti eelarve kinnitamine 	225 600 €</t>
  </si>
  <si>
    <t>27 aprill 2026  OK2 sisseostetava teenuse eelarve suurendamine	+ 30 000 €</t>
  </si>
  <si>
    <t>14 aprill  2026  OK2 tööjõukulu eelarve suurendamine	+ 13 000 €</t>
  </si>
  <si>
    <t>14 aprill  2026  OK2 sisseostetava teenuse eelarve suurendamine	+ 91 720 €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</si>
</sst>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quot;€&quot;* #,##0.00_-;\-&quot;€&quot;* #,##0.00_-;_-&quot;€&quot;* &quot;-&quot;??_-;_-@_-"/>
    <numFmt numFmtId="165" formatCode="&quot;€&quot;#,##0"/>
    <numFmt numFmtId="166" formatCode="_-&quot;€&quot;* #,##0_-;\-&quot;€&quot;* #,##0_-;_-&quot;€&quot;* &quot;-&quot;??_-;_-@_-"/>
  </numFmts>
  <fonts count="4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6"/>
      <color theme="3"/>
      <name val="Raleway Regular"/>
    </font>
    <font>
      <sz val="11"/>
      <name val="Aptos Narrow"/>
      <family val="2"/>
      <charset val="186"/>
      <scheme val="minor"/>
    </font>
    <font>
      <sz val="11"/>
      <color theme="1"/>
      <name val="Aptos Narrow"/>
      <scheme val="minor"/>
    </font>
    <font>
      <sz val="14"/>
      <color theme="1"/>
      <name val="Raleway Regular"/>
    </font>
    <font>
      <i/>
      <sz val="11"/>
      <color theme="1"/>
      <name val="Aptos Narrow"/>
      <family val="2"/>
      <charset val="186"/>
      <scheme val="minor"/>
    </font>
    <font>
      <b/>
      <sz val="11"/>
      <color theme="0"/>
      <name val="Raleway Regular"/>
    </font>
    <font>
      <sz val="11"/>
      <color theme="0"/>
      <name val="Raleway Regular"/>
    </font>
    <font>
      <b/>
      <sz val="12"/>
      <color theme="0"/>
      <name val="Raleway Regular"/>
      <charset val="186"/>
    </font>
    <font>
      <b/>
      <sz val="11"/>
      <name val="Raleway Regular"/>
      <charset val="186"/>
    </font>
    <font>
      <sz val="11"/>
      <color theme="1"/>
      <name val="Raleway Regular"/>
    </font>
    <font>
      <b/>
      <sz val="11"/>
      <color theme="1"/>
      <name val="Raleway Regular"/>
      <charset val="186"/>
    </font>
    <font>
      <b/>
      <sz val="12"/>
      <color theme="4"/>
      <name val="Raleway Regular"/>
    </font>
    <font>
      <b/>
      <sz val="12"/>
      <color theme="1"/>
      <name val="Aptos Narrow"/>
      <scheme val="minor"/>
    </font>
    <font>
      <sz val="12"/>
      <name val="Aptos Narrow"/>
      <family val="2"/>
      <scheme val="minor"/>
    </font>
    <font>
      <i/>
      <sz val="11"/>
      <name val="Raleway Regular"/>
    </font>
    <font>
      <sz val="11"/>
      <name val="Raleway Regular"/>
    </font>
    <font>
      <b/>
      <sz val="11"/>
      <color theme="2" tint="-0.749992370372631"/>
      <name val="Raleway Regular"/>
      <charset val="186"/>
    </font>
    <font>
      <sz val="12"/>
      <color theme="1"/>
      <name val="Aptos Narrow"/>
      <scheme val="minor"/>
    </font>
    <font>
      <i/>
      <sz val="11"/>
      <color theme="8"/>
      <name val="Aptos Narrow"/>
      <family val="2"/>
      <charset val="186"/>
      <scheme val="minor"/>
    </font>
    <font>
      <sz val="8"/>
      <name val="Aptos Narrow"/>
      <family val="2"/>
      <scheme val="minor"/>
    </font>
    <font>
      <sz val="12"/>
      <color theme="8"/>
      <name val="Aptos Narrow"/>
      <family val="2"/>
      <scheme val="minor"/>
    </font>
    <font>
      <b/>
      <sz val="9"/>
      <color rgb="FF000000"/>
      <name val="Segoe UI"/>
      <family val="2"/>
      <charset val="1"/>
    </font>
    <font>
      <sz val="9"/>
      <color rgb="FF000000"/>
      <name val="Segoe UI"/>
      <family val="2"/>
      <charset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tint="0.79998168889431442"/>
      </patternFill>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style="thin">
        <color theme="4" tint="0.39997558519241921"/>
      </top>
      <bottom/>
      <diagonal/>
    </border>
    <border>
      <left/>
      <right/>
      <top style="thin">
        <color theme="4" tint="0.3999755851924192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165" fontId="0" fillId="0" borderId="0" xfId="0" applyNumberFormat="1"/>
    <xf numFmtId="0" fontId="0" fillId="0" borderId="0" xfId="0" applyAlignment="1">
      <alignment horizontal="left" indent="2"/>
    </xf>
    <xf numFmtId="0" fontId="18" fillId="0" borderId="0" xfId="0" applyFont="1" applyAlignment="1">
      <alignment vertical="center" wrapText="1"/>
    </xf>
    <xf numFmtId="0" fontId="20" fillId="0" borderId="0" xfId="0" applyFont="1" applyAlignment="1">
      <alignment wrapText="1"/>
    </xf>
    <xf numFmtId="0" fontId="21" fillId="0" borderId="0" xfId="0" applyFont="1" applyAlignment="1">
      <alignment vertical="center"/>
    </xf>
    <xf numFmtId="0" fontId="22" fillId="0" borderId="0" xfId="0" applyFont="1"/>
    <xf numFmtId="0" fontId="23" fillId="33" borderId="10" xfId="0" applyFont="1" applyFill="1" applyBorder="1" applyAlignment="1">
      <alignment vertical="center" wrapText="1"/>
    </xf>
    <xf numFmtId="0" fontId="23" fillId="33" borderId="10" xfId="0" applyFont="1" applyFill="1" applyBorder="1" applyAlignment="1">
      <alignment horizontal="center" vertical="center" wrapText="1"/>
    </xf>
    <xf numFmtId="0" fontId="25" fillId="33" borderId="10" xfId="0" applyFont="1" applyFill="1" applyBorder="1" applyAlignment="1">
      <alignment horizontal="center" vertical="center" wrapText="1"/>
    </xf>
    <xf numFmtId="0" fontId="23" fillId="33" borderId="0" xfId="0" applyFont="1" applyFill="1" applyAlignment="1">
      <alignment horizontal="left" vertical="center"/>
    </xf>
    <xf numFmtId="166" fontId="23" fillId="33" borderId="0" xfId="0" applyNumberFormat="1" applyFont="1" applyFill="1" applyAlignment="1">
      <alignment vertical="center"/>
    </xf>
    <xf numFmtId="49" fontId="23" fillId="33" borderId="0" xfId="0" applyNumberFormat="1" applyFont="1" applyFill="1" applyAlignment="1">
      <alignment vertical="center"/>
    </xf>
    <xf numFmtId="0" fontId="23" fillId="33" borderId="11" xfId="0" applyFont="1" applyFill="1" applyBorder="1" applyAlignment="1">
      <alignment horizontal="left" vertical="center"/>
    </xf>
    <xf numFmtId="166" fontId="23" fillId="33" borderId="11" xfId="0" applyNumberFormat="1" applyFont="1" applyFill="1" applyBorder="1" applyAlignment="1">
      <alignment vertical="center"/>
    </xf>
    <xf numFmtId="49" fontId="23" fillId="33" borderId="11" xfId="0" applyNumberFormat="1" applyFont="1" applyFill="1" applyBorder="1" applyAlignment="1">
      <alignment vertical="center"/>
    </xf>
    <xf numFmtId="0" fontId="23" fillId="33" borderId="12" xfId="0" applyFont="1" applyFill="1" applyBorder="1" applyAlignment="1">
      <alignment horizontal="left" vertical="center"/>
    </xf>
    <xf numFmtId="166" fontId="23" fillId="33" borderId="12" xfId="0" applyNumberFormat="1" applyFont="1" applyFill="1" applyBorder="1" applyAlignment="1">
      <alignment vertical="center"/>
    </xf>
    <xf numFmtId="49" fontId="23" fillId="33" borderId="12" xfId="0" applyNumberFormat="1" applyFont="1" applyFill="1" applyBorder="1" applyAlignment="1">
      <alignment vertical="center"/>
    </xf>
    <xf numFmtId="0" fontId="27" fillId="0" borderId="0" xfId="0" applyFont="1"/>
    <xf numFmtId="166" fontId="27" fillId="0" borderId="0" xfId="0" applyNumberFormat="1" applyFont="1"/>
    <xf numFmtId="0" fontId="28" fillId="0" borderId="0" xfId="0" applyFont="1"/>
    <xf numFmtId="1" fontId="27" fillId="0" borderId="0" xfId="0" applyNumberFormat="1" applyFont="1"/>
    <xf numFmtId="0" fontId="21" fillId="0" borderId="0" xfId="0" applyFont="1" applyAlignment="1">
      <alignment vertical="center" wrapText="1"/>
    </xf>
    <xf numFmtId="0" fontId="29" fillId="0" borderId="0" xfId="0" applyFont="1" applyAlignment="1">
      <alignment horizontal="center" vertical="center"/>
    </xf>
    <xf numFmtId="0" fontId="0" fillId="0" borderId="0" xfId="0" applyAlignment="1">
      <alignment horizontal="left" indent="4"/>
    </xf>
    <xf numFmtId="165" fontId="0" fillId="34" borderId="0" xfId="0" applyNumberFormat="1" applyFill="1"/>
    <xf numFmtId="0" fontId="16" fillId="34" borderId="0" xfId="0" applyFont="1" applyFill="1" applyAlignment="1">
      <alignment horizontal="left" indent="1"/>
    </xf>
    <xf numFmtId="165" fontId="30" fillId="34" borderId="0" xfId="0" applyNumberFormat="1" applyFont="1" applyFill="1"/>
    <xf numFmtId="165" fontId="16" fillId="34" borderId="0" xfId="0" applyNumberFormat="1" applyFont="1" applyFill="1"/>
    <xf numFmtId="49" fontId="26" fillId="34" borderId="0" xfId="0" applyNumberFormat="1" applyFont="1" applyFill="1" applyAlignment="1">
      <alignment horizontal="center" vertical="center"/>
    </xf>
    <xf numFmtId="0" fontId="31" fillId="0" borderId="0" xfId="0" applyFont="1" applyAlignment="1">
      <alignment horizontal="left" indent="2"/>
    </xf>
    <xf numFmtId="49" fontId="32" fillId="0" borderId="0" xfId="0" applyNumberFormat="1" applyFont="1" applyAlignment="1">
      <alignment horizontal="center" vertical="center"/>
    </xf>
    <xf numFmtId="49" fontId="33" fillId="34" borderId="0" xfId="0" applyNumberFormat="1" applyFont="1" applyFill="1" applyAlignment="1">
      <alignment horizontal="center" vertical="center"/>
    </xf>
    <xf numFmtId="49" fontId="32" fillId="34" borderId="0" xfId="0" applyNumberFormat="1" applyFont="1" applyFill="1" applyAlignment="1">
      <alignment horizontal="center" vertical="center"/>
    </xf>
    <xf numFmtId="9" fontId="34" fillId="34" borderId="10" xfId="42" applyFont="1" applyFill="1" applyBorder="1" applyAlignment="1">
      <alignment vertical="center"/>
    </xf>
    <xf numFmtId="9" fontId="0" fillId="0" borderId="0" xfId="42" applyFont="1"/>
    <xf numFmtId="9" fontId="30" fillId="34" borderId="0" xfId="42" applyFont="1" applyFill="1"/>
    <xf numFmtId="9" fontId="16" fillId="34" borderId="0" xfId="42" applyFont="1" applyFill="1"/>
    <xf numFmtId="165" fontId="35" fillId="0" borderId="0" xfId="0" applyNumberFormat="1" applyFont="1"/>
    <xf numFmtId="9" fontId="23" fillId="33" borderId="0" xfId="42" applyFont="1" applyFill="1" applyAlignment="1">
      <alignment vertical="center"/>
    </xf>
    <xf numFmtId="9" fontId="23" fillId="33" borderId="11" xfId="42" applyFont="1" applyFill="1" applyBorder="1" applyAlignment="1">
      <alignment vertical="center"/>
    </xf>
    <xf numFmtId="9" fontId="23" fillId="33" borderId="12" xfId="42" applyFont="1" applyFill="1" applyBorder="1" applyAlignment="1">
      <alignment vertical="center"/>
    </xf>
    <xf numFmtId="164" fontId="27" fillId="0" borderId="0" xfId="0" applyNumberFormat="1" applyFont="1"/>
    <xf numFmtId="44" fontId="27" fillId="0" borderId="0" xfId="0" applyNumberFormat="1" applyFont="1"/>
    <xf numFmtId="165" fontId="0" fillId="35" borderId="0" xfId="0" applyNumberFormat="1" applyFill="1"/>
    <xf numFmtId="0" fontId="36" fillId="0" borderId="0" xfId="0" applyFont="1"/>
    <xf numFmtId="165" fontId="38" fillId="0" borderId="0" xfId="0" applyNumberFormat="1" applyFont="1"/>
    <xf numFmtId="165" fontId="38" fillId="0" borderId="0" xfId="0" applyNumberFormat="1" applyFont="1" applyFill="1"/>
    <xf numFmtId="165" fontId="31" fillId="0" borderId="0" xfId="0" applyNumberFormat="1" applyFont="1"/>
    <xf numFmtId="0" fontId="19" fillId="0" borderId="0" xfId="0" applyFont="1" applyAlignment="1">
      <alignment horizontal="left" vertical="center" wrapText="1"/>
    </xf>
  </cellXfs>
  <cellStyles count="43">
    <cellStyle name="20% – rõhk1" xfId="19" builtinId="30" customBuiltin="1"/>
    <cellStyle name="20% – rõhk2" xfId="23" builtinId="34" customBuiltin="1"/>
    <cellStyle name="20% – rõhk3" xfId="27" builtinId="38" customBuiltin="1"/>
    <cellStyle name="20% – rõhk4" xfId="31" builtinId="42" customBuiltin="1"/>
    <cellStyle name="20% – rõhk5" xfId="35" builtinId="46" customBuiltin="1"/>
    <cellStyle name="20% – rõhk6" xfId="39" builtinId="50" customBuiltin="1"/>
    <cellStyle name="40% – rõhk1" xfId="20" builtinId="31" customBuiltin="1"/>
    <cellStyle name="40% – rõhk2" xfId="24" builtinId="35" customBuiltin="1"/>
    <cellStyle name="40% – rõhk3" xfId="28" builtinId="39" customBuiltin="1"/>
    <cellStyle name="40% – rõhk4" xfId="32" builtinId="43" customBuiltin="1"/>
    <cellStyle name="40% – rõhk5" xfId="36" builtinId="47" customBuiltin="1"/>
    <cellStyle name="40% – rõhk6" xfId="40" builtinId="51" customBuiltin="1"/>
    <cellStyle name="60% – rõhk1" xfId="21" builtinId="32" customBuiltin="1"/>
    <cellStyle name="60% – rõhk2" xfId="25" builtinId="36" customBuiltin="1"/>
    <cellStyle name="60% – rõhk3" xfId="29" builtinId="40" customBuiltin="1"/>
    <cellStyle name="60% – rõhk4" xfId="33" builtinId="44" customBuiltin="1"/>
    <cellStyle name="60% – rõhk5" xfId="37" builtinId="48" customBuiltin="1"/>
    <cellStyle name="60% – rõhk6" xfId="41" builtinId="52" customBuiltin="1"/>
    <cellStyle name="Arvutus" xfId="11" builtinId="22" customBuiltin="1"/>
    <cellStyle name="Halb" xfId="7" builtinId="27" customBuiltin="1"/>
    <cellStyle name="Hea" xfId="6" builtinId="26" customBuiltin="1"/>
    <cellStyle name="Hoiatuse tekst" xfId="14" builtinId="11" customBuiltin="1"/>
    <cellStyle name="Kokku" xfId="17" builtinId="25" customBuiltin="1"/>
    <cellStyle name="Kontrolli lahtrit" xfId="13" builtinId="23" customBuiltin="1"/>
    <cellStyle name="Lingitud lahter" xfId="12" builtinId="24" customBuiltin="1"/>
    <cellStyle name="Märkus" xfId="15" builtinId="10" customBuiltin="1"/>
    <cellStyle name="Neutraalne" xfId="8" builtinId="28" customBuiltin="1"/>
    <cellStyle name="Normaallaad" xfId="0" builtinId="0"/>
    <cellStyle name="Pealkiri 1" xfId="2" builtinId="16" customBuiltin="1"/>
    <cellStyle name="Pealkiri 2" xfId="3" builtinId="17" customBuiltin="1"/>
    <cellStyle name="Pealkiri 3" xfId="4" builtinId="18" customBuiltin="1"/>
    <cellStyle name="Pealkiri 4" xfId="5" builtinId="19" customBuiltin="1"/>
    <cellStyle name="Protsent" xfId="42" builtinId="5"/>
    <cellStyle name="Rõhk1" xfId="18" builtinId="29" customBuiltin="1"/>
    <cellStyle name="Rõhk2" xfId="22" builtinId="33" customBuiltin="1"/>
    <cellStyle name="Rõhk3" xfId="26" builtinId="37" customBuiltin="1"/>
    <cellStyle name="Rõhk4" xfId="30" builtinId="41" customBuiltin="1"/>
    <cellStyle name="Rõhk5" xfId="34" builtinId="45" customBuiltin="1"/>
    <cellStyle name="Rõhk6" xfId="38" builtinId="49" customBuiltin="1"/>
    <cellStyle name="Selgitav tekst" xfId="16" builtinId="53" customBuiltin="1"/>
    <cellStyle name="Sisend" xfId="9" builtinId="20" customBuiltin="1"/>
    <cellStyle name="Väljund" xfId="10" builtinId="21" customBuiltin="1"/>
    <cellStyle name="Üldpealkiri" xfId="1" builtinId="15" customBuiltin="1"/>
  </cellStyles>
  <dxfs count="2">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ABCA2-B2EE-2D44-9045-602F0EB6549C}">
  <sheetPr codeName="Sheet1"/>
  <dimension ref="B1:X52"/>
  <sheetViews>
    <sheetView tabSelected="1" topLeftCell="C1" zoomScale="130" zoomScaleNormal="130" workbookViewId="0">
      <selection activeCell="R29" sqref="R29"/>
    </sheetView>
  </sheetViews>
  <sheetFormatPr defaultColWidth="8.81640625" defaultRowHeight="15.6"/>
  <cols>
    <col min="1" max="1" width="4" customWidth="1"/>
    <col min="2" max="2" width="6.6328125" hidden="1" customWidth="1"/>
    <col min="3" max="3" width="82.81640625" style="19" customWidth="1"/>
    <col min="4" max="4" width="15.1796875" style="19" hidden="1" customWidth="1"/>
    <col min="5" max="5" width="18" style="19" hidden="1" customWidth="1"/>
    <col min="6" max="10" width="16.36328125" style="19" customWidth="1"/>
    <col min="11" max="11" width="19.453125" style="19" hidden="1" customWidth="1"/>
    <col min="12" max="12" width="45.36328125" style="6" hidden="1" customWidth="1"/>
    <col min="13" max="14" width="14.453125" customWidth="1"/>
    <col min="15" max="16" width="14.453125" hidden="1" customWidth="1"/>
    <col min="17" max="17" width="11.81640625" customWidth="1"/>
    <col min="18" max="19" width="12" customWidth="1"/>
    <col min="20" max="20" width="10.6328125" customWidth="1"/>
    <col min="21" max="22" width="8.81640625" hidden="1" customWidth="1"/>
    <col min="23" max="23" width="10.453125" customWidth="1"/>
    <col min="24" max="24" width="54.36328125" customWidth="1"/>
  </cols>
  <sheetData>
    <row r="1" spans="2:24" ht="82.8">
      <c r="C1" s="3" t="s">
        <v>16</v>
      </c>
      <c r="D1" s="3"/>
      <c r="E1" s="3"/>
      <c r="F1" s="50" t="s">
        <v>13</v>
      </c>
      <c r="G1" s="50"/>
      <c r="H1" s="50"/>
      <c r="I1" s="50"/>
      <c r="J1" s="50"/>
      <c r="K1" s="50"/>
      <c r="L1" s="4" t="s">
        <v>14</v>
      </c>
    </row>
    <row r="2" spans="2:24" ht="17.399999999999999">
      <c r="C2" s="23"/>
      <c r="D2" s="23"/>
      <c r="E2" s="23"/>
      <c r="F2" s="24" t="s">
        <v>10</v>
      </c>
      <c r="G2" s="24" t="s">
        <v>10</v>
      </c>
      <c r="H2" s="24" t="s">
        <v>10</v>
      </c>
      <c r="I2" s="24" t="s">
        <v>10</v>
      </c>
      <c r="J2" s="24" t="s">
        <v>10</v>
      </c>
      <c r="K2" s="5"/>
      <c r="M2" s="24" t="s">
        <v>48</v>
      </c>
      <c r="N2" s="24" t="s">
        <v>48</v>
      </c>
      <c r="O2" s="24" t="s">
        <v>48</v>
      </c>
      <c r="P2" s="24" t="s">
        <v>48</v>
      </c>
      <c r="Q2" s="24" t="s">
        <v>48</v>
      </c>
      <c r="R2" s="24" t="s">
        <v>48</v>
      </c>
      <c r="S2" s="24" t="s">
        <v>48</v>
      </c>
      <c r="T2" s="24" t="s">
        <v>48</v>
      </c>
      <c r="U2" s="24" t="s">
        <v>48</v>
      </c>
      <c r="V2" s="24" t="s">
        <v>48</v>
      </c>
      <c r="W2" s="24" t="s">
        <v>48</v>
      </c>
    </row>
    <row r="3" spans="2:24" ht="41.4">
      <c r="C3" s="7" t="s">
        <v>0</v>
      </c>
      <c r="D3" s="8" t="s">
        <v>18</v>
      </c>
      <c r="E3" s="8" t="s">
        <v>17</v>
      </c>
      <c r="F3" s="8" t="s">
        <v>43</v>
      </c>
      <c r="G3" s="8" t="s">
        <v>44</v>
      </c>
      <c r="H3" s="8" t="s">
        <v>45</v>
      </c>
      <c r="I3" s="8" t="s">
        <v>46</v>
      </c>
      <c r="J3" s="9" t="s">
        <v>1</v>
      </c>
      <c r="K3" s="8" t="s">
        <v>2</v>
      </c>
      <c r="L3" s="8" t="s">
        <v>3</v>
      </c>
      <c r="M3" s="8" t="s">
        <v>49</v>
      </c>
      <c r="N3" s="8" t="s">
        <v>50</v>
      </c>
      <c r="O3" s="8" t="s">
        <v>51</v>
      </c>
      <c r="P3" s="8" t="s">
        <v>52</v>
      </c>
      <c r="Q3" s="8" t="s">
        <v>53</v>
      </c>
      <c r="R3" s="8" t="s">
        <v>54</v>
      </c>
      <c r="S3" s="8" t="s">
        <v>55</v>
      </c>
      <c r="T3" s="8" t="s">
        <v>56</v>
      </c>
      <c r="U3" s="8" t="s">
        <v>57</v>
      </c>
      <c r="V3" s="8" t="s">
        <v>58</v>
      </c>
      <c r="W3" s="8" t="s">
        <v>59</v>
      </c>
      <c r="X3" s="8" t="s">
        <v>63</v>
      </c>
    </row>
    <row r="4" spans="2:24">
      <c r="B4" s="26" t="b">
        <f t="shared" ref="B4:B10" si="0">ISNUMBER(SEARCH("tööjõukulu",C4,1))</f>
        <v>0</v>
      </c>
      <c r="C4" s="27" t="s">
        <v>11</v>
      </c>
      <c r="D4" s="29">
        <f>SUM(D5:D6)</f>
        <v>0</v>
      </c>
      <c r="E4" s="29">
        <f>SUM(E5:E6)</f>
        <v>0</v>
      </c>
      <c r="F4" s="29">
        <f>SUM(F5:F6)</f>
        <v>42500</v>
      </c>
      <c r="G4" s="29">
        <f t="shared" ref="G4:I4" si="1">SUM(G5:G6)</f>
        <v>42500</v>
      </c>
      <c r="H4" s="29">
        <f t="shared" si="1"/>
        <v>42500</v>
      </c>
      <c r="I4" s="29">
        <f t="shared" si="1"/>
        <v>42500</v>
      </c>
      <c r="J4" s="28">
        <f t="shared" ref="J4:J39" si="2">SUM(F4:I4)</f>
        <v>170000</v>
      </c>
      <c r="K4" s="30"/>
      <c r="M4" s="28">
        <f>SUM(M5:M6)</f>
        <v>31413.96</v>
      </c>
      <c r="N4" s="28">
        <f>SUM(N5:N6)</f>
        <v>27784.92</v>
      </c>
      <c r="O4" s="28">
        <f t="shared" ref="O4:P4" si="3">SUM(O5:O6)</f>
        <v>0</v>
      </c>
      <c r="P4" s="28">
        <f t="shared" si="3"/>
        <v>0</v>
      </c>
      <c r="Q4" s="28">
        <f>SUM(Q5:Q6)</f>
        <v>59198.879999999997</v>
      </c>
      <c r="R4" s="28">
        <f>SUM(R5:R6)</f>
        <v>110801.12</v>
      </c>
      <c r="S4" s="35">
        <f>IFERROR(M4/F4,0)</f>
        <v>0.73915200000000003</v>
      </c>
      <c r="T4" s="35">
        <f>IFERROR(N4/G4,0)</f>
        <v>0.65376282352941173</v>
      </c>
      <c r="U4" s="35">
        <f t="shared" ref="U4:V4" si="4">IFERROR(O4/H4,0)</f>
        <v>0</v>
      </c>
      <c r="V4" s="35">
        <f t="shared" si="4"/>
        <v>0</v>
      </c>
      <c r="W4" s="35">
        <f>IFERROR(Q4/J4,0)</f>
        <v>0.34822870588235294</v>
      </c>
      <c r="X4" s="46"/>
    </row>
    <row r="5" spans="2:24">
      <c r="B5" s="1" t="b">
        <f t="shared" si="0"/>
        <v>1</v>
      </c>
      <c r="C5" s="2" t="s">
        <v>19</v>
      </c>
      <c r="D5" s="1">
        <v>0</v>
      </c>
      <c r="E5" s="1">
        <v>0</v>
      </c>
      <c r="F5" s="1">
        <f>130000/4</f>
        <v>32500</v>
      </c>
      <c r="G5" s="1">
        <f t="shared" ref="G5:I5" si="5">130000/4</f>
        <v>32500</v>
      </c>
      <c r="H5" s="1">
        <f t="shared" si="5"/>
        <v>32500</v>
      </c>
      <c r="I5" s="1">
        <f t="shared" si="5"/>
        <v>32500</v>
      </c>
      <c r="J5" s="1">
        <f t="shared" si="2"/>
        <v>130000</v>
      </c>
      <c r="K5" s="32" t="s">
        <v>47</v>
      </c>
      <c r="M5" s="39">
        <v>31413.96</v>
      </c>
      <c r="N5" s="1">
        <v>27784.92</v>
      </c>
      <c r="O5" s="1"/>
      <c r="P5" s="1"/>
      <c r="Q5" s="1">
        <f>SUM(M5:P5)</f>
        <v>59198.879999999997</v>
      </c>
      <c r="R5" s="1">
        <f>J5-Q5</f>
        <v>70801.119999999995</v>
      </c>
      <c r="S5" s="36">
        <f>IFERROR(M5/F5,0)</f>
        <v>0.96658338461538462</v>
      </c>
      <c r="T5" s="36">
        <f t="shared" ref="T5:V6" si="6">IFERROR(N5/G5,0)</f>
        <v>0.85492061538461528</v>
      </c>
      <c r="U5" s="36">
        <f t="shared" si="6"/>
        <v>0</v>
      </c>
      <c r="V5" s="36">
        <f t="shared" si="6"/>
        <v>0</v>
      </c>
      <c r="W5" s="36">
        <f>IFERROR(Q5/J5,0)</f>
        <v>0.455376</v>
      </c>
      <c r="X5" s="46"/>
    </row>
    <row r="6" spans="2:24">
      <c r="B6" s="1" t="b">
        <f t="shared" ref="B6" si="7">ISNUMBER(SEARCH("tööjõukulu",C6,1))</f>
        <v>0</v>
      </c>
      <c r="C6" s="2" t="s">
        <v>20</v>
      </c>
      <c r="D6" s="1">
        <v>0</v>
      </c>
      <c r="E6" s="1">
        <v>0</v>
      </c>
      <c r="F6" s="1">
        <f>40000/4</f>
        <v>10000</v>
      </c>
      <c r="G6" s="1">
        <f t="shared" ref="G6:I6" si="8">40000/4</f>
        <v>10000</v>
      </c>
      <c r="H6" s="1">
        <f t="shared" si="8"/>
        <v>10000</v>
      </c>
      <c r="I6" s="1">
        <f t="shared" si="8"/>
        <v>10000</v>
      </c>
      <c r="J6" s="1">
        <f t="shared" ref="J6" si="9">SUM(F6:I6)</f>
        <v>40000</v>
      </c>
      <c r="K6" s="32" t="s">
        <v>47</v>
      </c>
      <c r="M6" s="39">
        <v>0</v>
      </c>
      <c r="N6" s="1">
        <v>0</v>
      </c>
      <c r="O6" s="1"/>
      <c r="P6" s="1"/>
      <c r="Q6" s="1">
        <f>SUM(M6:P6)</f>
        <v>0</v>
      </c>
      <c r="R6" s="1">
        <f>J6-Q6</f>
        <v>40000</v>
      </c>
      <c r="S6" s="36">
        <f t="shared" ref="S6" si="10">IFERROR(M6/F6,0)</f>
        <v>0</v>
      </c>
      <c r="T6" s="36">
        <f t="shared" si="6"/>
        <v>0</v>
      </c>
      <c r="U6" s="36">
        <f t="shared" si="6"/>
        <v>0</v>
      </c>
      <c r="V6" s="36">
        <f t="shared" si="6"/>
        <v>0</v>
      </c>
      <c r="W6" s="36">
        <f t="shared" ref="W6" si="11">IFERROR(Q6/J6,0)</f>
        <v>0</v>
      </c>
      <c r="X6" s="46"/>
    </row>
    <row r="7" spans="2:24">
      <c r="B7" s="26" t="b">
        <f t="shared" si="0"/>
        <v>0</v>
      </c>
      <c r="C7" s="27" t="s">
        <v>4</v>
      </c>
      <c r="D7" s="28">
        <f t="shared" ref="D7:I7" si="12">SUM(D8:D15)</f>
        <v>46060</v>
      </c>
      <c r="E7" s="28">
        <f t="shared" si="12"/>
        <v>111372.70999999999</v>
      </c>
      <c r="F7" s="28">
        <f t="shared" si="12"/>
        <v>35119.97</v>
      </c>
      <c r="G7" s="28">
        <f t="shared" si="12"/>
        <v>96091.13</v>
      </c>
      <c r="H7" s="28">
        <f t="shared" si="12"/>
        <v>98787.530200000008</v>
      </c>
      <c r="I7" s="28">
        <f t="shared" si="12"/>
        <v>122753.53020000001</v>
      </c>
      <c r="J7" s="28">
        <f t="shared" si="2"/>
        <v>352752.16040000005</v>
      </c>
      <c r="K7" s="33"/>
      <c r="M7" s="28">
        <f>SUM(M8:M15)</f>
        <v>31651.040000000001</v>
      </c>
      <c r="N7" s="28">
        <f>SUM(N8:N15)</f>
        <v>49120.800000000003</v>
      </c>
      <c r="O7" s="28">
        <f t="shared" ref="O7:P7" si="13">SUM(O8:O15)</f>
        <v>0</v>
      </c>
      <c r="P7" s="28">
        <f t="shared" si="13"/>
        <v>0</v>
      </c>
      <c r="Q7" s="28">
        <f>SUM(Q8:Q15)</f>
        <v>80771.839999999997</v>
      </c>
      <c r="R7" s="28">
        <f>SUM(R8:R15)</f>
        <v>271980.32039999997</v>
      </c>
      <c r="S7" s="35">
        <f>IFERROR(M7/F7,0)</f>
        <v>0.90122628236869218</v>
      </c>
      <c r="T7" s="35">
        <f>IFERROR(N7/G7,0)</f>
        <v>0.51118974248715776</v>
      </c>
      <c r="U7" s="35">
        <f t="shared" ref="U7" si="14">IFERROR(O7/H7,0)</f>
        <v>0</v>
      </c>
      <c r="V7" s="35">
        <f t="shared" ref="V7" si="15">IFERROR(P7/I7,0)</f>
        <v>0</v>
      </c>
      <c r="W7" s="35">
        <f>IFERROR(Q7/J7,0)</f>
        <v>0.22897617383380309</v>
      </c>
      <c r="X7" s="46"/>
    </row>
    <row r="8" spans="2:24">
      <c r="B8" s="1" t="b">
        <f t="shared" ref="B8" si="16">ISNUMBER(SEARCH("tööjõukulu",C8,1))</f>
        <v>0</v>
      </c>
      <c r="C8" s="2" t="s">
        <v>36</v>
      </c>
      <c r="D8" s="1">
        <v>496</v>
      </c>
      <c r="E8" s="1">
        <v>0</v>
      </c>
      <c r="F8" s="1">
        <f>D8/2*1.24</f>
        <v>307.52</v>
      </c>
      <c r="G8" s="1">
        <f>D8/2*1.24</f>
        <v>307.52</v>
      </c>
      <c r="H8" s="1">
        <f t="shared" ref="H8:H9" si="17">E8/2*1.24</f>
        <v>0</v>
      </c>
      <c r="I8" s="1">
        <f>E8/2*1.24</f>
        <v>0</v>
      </c>
      <c r="J8" s="1">
        <f t="shared" ref="J8:J9" si="18">SUM(F8:I8)</f>
        <v>615.04</v>
      </c>
      <c r="K8" s="32" t="s">
        <v>47</v>
      </c>
      <c r="M8" s="39">
        <v>0</v>
      </c>
      <c r="N8" s="1">
        <v>0</v>
      </c>
      <c r="O8" s="1"/>
      <c r="P8" s="1"/>
      <c r="Q8" s="1">
        <f t="shared" ref="Q8:Q15" si="19">SUM(M8:P8)</f>
        <v>0</v>
      </c>
      <c r="R8" s="1">
        <f t="shared" ref="R8:R15" si="20">J8-Q8</f>
        <v>615.04</v>
      </c>
      <c r="S8" s="36">
        <f t="shared" ref="S8:S15" si="21">IFERROR(M8/F8,0)</f>
        <v>0</v>
      </c>
      <c r="T8" s="36">
        <f t="shared" ref="T8:T16" si="22">IFERROR(N8/G8,0)</f>
        <v>0</v>
      </c>
      <c r="U8" s="36">
        <f t="shared" ref="U8:U15" si="23">IFERROR(O8/H8,0)</f>
        <v>0</v>
      </c>
      <c r="V8" s="36">
        <f t="shared" ref="V8:V16" si="24">IFERROR(P8/I8,0)</f>
        <v>0</v>
      </c>
      <c r="W8" s="36">
        <f t="shared" ref="W8:W15" si="25">IFERROR(Q8/J8,0)</f>
        <v>0</v>
      </c>
      <c r="X8" s="46"/>
    </row>
    <row r="9" spans="2:24">
      <c r="B9" s="1" t="b">
        <f>ISNUMBER(SEARCH("tööjõukulu",C9,1))</f>
        <v>1</v>
      </c>
      <c r="C9" s="25" t="s">
        <v>37</v>
      </c>
      <c r="D9" s="1">
        <v>0</v>
      </c>
      <c r="E9" s="1">
        <v>0</v>
      </c>
      <c r="F9" s="1">
        <v>3551</v>
      </c>
      <c r="G9" s="1">
        <v>2286</v>
      </c>
      <c r="H9" s="1">
        <f t="shared" si="17"/>
        <v>0</v>
      </c>
      <c r="I9" s="1">
        <f>E9/2*1.24</f>
        <v>0</v>
      </c>
      <c r="J9" s="1">
        <f t="shared" si="18"/>
        <v>5837</v>
      </c>
      <c r="K9" s="32" t="s">
        <v>47</v>
      </c>
      <c r="M9" s="39">
        <v>1834</v>
      </c>
      <c r="N9" s="1">
        <v>1804</v>
      </c>
      <c r="O9" s="1"/>
      <c r="P9" s="1"/>
      <c r="Q9" s="1">
        <f t="shared" si="19"/>
        <v>3638</v>
      </c>
      <c r="R9" s="1">
        <f t="shared" si="20"/>
        <v>2199</v>
      </c>
      <c r="S9" s="36">
        <f t="shared" si="21"/>
        <v>0.51647423261053227</v>
      </c>
      <c r="T9" s="36">
        <f t="shared" si="22"/>
        <v>0.78915135608048992</v>
      </c>
      <c r="U9" s="36">
        <f t="shared" si="23"/>
        <v>0</v>
      </c>
      <c r="V9" s="36">
        <f t="shared" si="24"/>
        <v>0</v>
      </c>
      <c r="W9" s="36">
        <f t="shared" si="25"/>
        <v>0.6232653760493404</v>
      </c>
      <c r="X9" s="46"/>
    </row>
    <row r="10" spans="2:24">
      <c r="B10" s="1" t="b">
        <f t="shared" si="0"/>
        <v>0</v>
      </c>
      <c r="C10" s="2" t="s">
        <v>35</v>
      </c>
      <c r="D10" s="1">
        <v>0</v>
      </c>
      <c r="E10" s="1">
        <v>19840</v>
      </c>
      <c r="F10" s="1">
        <f>D10/2*1.24</f>
        <v>0</v>
      </c>
      <c r="G10" s="1">
        <f>D10/2*1.24</f>
        <v>0</v>
      </c>
      <c r="H10" s="1">
        <v>0</v>
      </c>
      <c r="I10" s="1">
        <f>E10*1.24</f>
        <v>24601.599999999999</v>
      </c>
      <c r="J10" s="1">
        <f t="shared" si="2"/>
        <v>24601.599999999999</v>
      </c>
      <c r="K10" s="32" t="s">
        <v>47</v>
      </c>
      <c r="M10" s="39">
        <v>0</v>
      </c>
      <c r="N10" s="1">
        <v>0</v>
      </c>
      <c r="O10" s="1"/>
      <c r="P10" s="1"/>
      <c r="Q10" s="1">
        <f t="shared" si="19"/>
        <v>0</v>
      </c>
      <c r="R10" s="1">
        <f t="shared" si="20"/>
        <v>24601.599999999999</v>
      </c>
      <c r="S10" s="36">
        <f t="shared" si="21"/>
        <v>0</v>
      </c>
      <c r="T10" s="36">
        <f t="shared" si="22"/>
        <v>0</v>
      </c>
      <c r="U10" s="36">
        <f t="shared" si="23"/>
        <v>0</v>
      </c>
      <c r="V10" s="36">
        <f t="shared" si="24"/>
        <v>0</v>
      </c>
      <c r="W10" s="36">
        <f t="shared" si="25"/>
        <v>0</v>
      </c>
      <c r="X10" s="46"/>
    </row>
    <row r="11" spans="2:24">
      <c r="B11" s="1" t="b">
        <f>ISNUMBER(SEARCH("tööjõukulu",C11,1))</f>
        <v>1</v>
      </c>
      <c r="C11" s="25" t="s">
        <v>39</v>
      </c>
      <c r="D11" s="1">
        <v>0</v>
      </c>
      <c r="E11" s="1">
        <v>0</v>
      </c>
      <c r="F11" s="1">
        <f>35517/4</f>
        <v>8879.25</v>
      </c>
      <c r="G11" s="1">
        <f t="shared" ref="G11:H11" si="26">35517/4</f>
        <v>8879.25</v>
      </c>
      <c r="H11" s="1">
        <f t="shared" si="26"/>
        <v>8879.25</v>
      </c>
      <c r="I11" s="1">
        <f>35517/4</f>
        <v>8879.25</v>
      </c>
      <c r="J11" s="1">
        <f t="shared" si="2"/>
        <v>35517</v>
      </c>
      <c r="K11" s="32" t="s">
        <v>47</v>
      </c>
      <c r="M11" s="39">
        <v>7533.04</v>
      </c>
      <c r="N11" s="1">
        <v>7410.8</v>
      </c>
      <c r="O11" s="1"/>
      <c r="P11" s="1"/>
      <c r="Q11" s="1">
        <f>SUM(M11:P11)</f>
        <v>14943.84</v>
      </c>
      <c r="R11" s="1">
        <f t="shared" si="20"/>
        <v>20573.16</v>
      </c>
      <c r="S11" s="36">
        <f t="shared" si="21"/>
        <v>0.8483869696201819</v>
      </c>
      <c r="T11" s="36">
        <f t="shared" si="22"/>
        <v>0.83462004110707555</v>
      </c>
      <c r="U11" s="36">
        <f t="shared" si="23"/>
        <v>0</v>
      </c>
      <c r="V11" s="36">
        <f t="shared" si="24"/>
        <v>0</v>
      </c>
      <c r="W11" s="36">
        <f t="shared" si="25"/>
        <v>0.42075175268181436</v>
      </c>
      <c r="X11" s="46"/>
    </row>
    <row r="12" spans="2:24">
      <c r="B12" s="1" t="b">
        <f t="shared" ref="B12:B13" si="27">ISNUMBER(SEARCH("tööjõukulu",C12,1))</f>
        <v>0</v>
      </c>
      <c r="C12" s="2" t="s">
        <v>34</v>
      </c>
      <c r="D12" s="1">
        <v>13306</v>
      </c>
      <c r="E12" s="1">
        <v>35081.1</v>
      </c>
      <c r="F12" s="1">
        <v>0</v>
      </c>
      <c r="G12" s="1">
        <f>D12*1.24</f>
        <v>16499.439999999999</v>
      </c>
      <c r="H12" s="48">
        <f t="shared" ref="H12:H13" si="28">E12/2*1.24</f>
        <v>21750.281999999999</v>
      </c>
      <c r="I12" s="48">
        <f>E12/2*1.24</f>
        <v>21750.281999999999</v>
      </c>
      <c r="J12" s="48">
        <f t="shared" ref="J12:J14" si="29">SUM(F12:I12)</f>
        <v>60000.003999999994</v>
      </c>
      <c r="K12" s="32" t="s">
        <v>47</v>
      </c>
      <c r="M12" s="39">
        <v>0</v>
      </c>
      <c r="N12" s="1">
        <v>0</v>
      </c>
      <c r="O12" s="1"/>
      <c r="P12" s="1"/>
      <c r="Q12" s="1">
        <f t="shared" si="19"/>
        <v>0</v>
      </c>
      <c r="R12" s="1">
        <f t="shared" si="20"/>
        <v>60000.003999999994</v>
      </c>
      <c r="S12" s="36">
        <f t="shared" si="21"/>
        <v>0</v>
      </c>
      <c r="T12" s="36">
        <f t="shared" si="22"/>
        <v>0</v>
      </c>
      <c r="U12" s="36">
        <f t="shared" si="23"/>
        <v>0</v>
      </c>
      <c r="V12" s="36">
        <f t="shared" si="24"/>
        <v>0</v>
      </c>
      <c r="W12" s="36">
        <f t="shared" si="25"/>
        <v>0</v>
      </c>
      <c r="X12" s="46" t="s">
        <v>64</v>
      </c>
    </row>
    <row r="13" spans="2:24">
      <c r="B13" s="1" t="b">
        <f t="shared" si="27"/>
        <v>0</v>
      </c>
      <c r="C13" s="2" t="s">
        <v>38</v>
      </c>
      <c r="D13" s="1">
        <v>32258</v>
      </c>
      <c r="E13" s="45">
        <v>56451.61</v>
      </c>
      <c r="F13" s="1">
        <v>0</v>
      </c>
      <c r="G13" s="1">
        <f>D13*1.24</f>
        <v>39999.919999999998</v>
      </c>
      <c r="H13" s="48">
        <f t="shared" si="28"/>
        <v>34999.998200000002</v>
      </c>
      <c r="I13" s="48">
        <f>E13/2*1.24</f>
        <v>34999.998200000002</v>
      </c>
      <c r="J13" s="48">
        <f t="shared" si="29"/>
        <v>109999.9164</v>
      </c>
      <c r="K13" s="32" t="s">
        <v>47</v>
      </c>
      <c r="M13" s="39">
        <v>0</v>
      </c>
      <c r="N13" s="1">
        <v>0</v>
      </c>
      <c r="O13" s="1"/>
      <c r="P13" s="1"/>
      <c r="Q13" s="1">
        <f t="shared" si="19"/>
        <v>0</v>
      </c>
      <c r="R13" s="1">
        <f t="shared" si="20"/>
        <v>109999.9164</v>
      </c>
      <c r="S13" s="36">
        <f t="shared" si="21"/>
        <v>0</v>
      </c>
      <c r="T13" s="36">
        <f t="shared" si="22"/>
        <v>0</v>
      </c>
      <c r="U13" s="36">
        <f t="shared" si="23"/>
        <v>0</v>
      </c>
      <c r="V13" s="36">
        <f t="shared" si="24"/>
        <v>0</v>
      </c>
      <c r="W13" s="36">
        <f t="shared" si="25"/>
        <v>0</v>
      </c>
      <c r="X13" s="46" t="s">
        <v>65</v>
      </c>
    </row>
    <row r="14" spans="2:24">
      <c r="B14" s="1" t="b">
        <f>ISNUMBER(SEARCH("tööjõukulu",C14,1))</f>
        <v>1</v>
      </c>
      <c r="C14" s="25" t="s">
        <v>40</v>
      </c>
      <c r="D14" s="1">
        <v>0</v>
      </c>
      <c r="E14" s="1">
        <v>0</v>
      </c>
      <c r="F14" s="1">
        <v>0</v>
      </c>
      <c r="G14" s="1">
        <v>6100</v>
      </c>
      <c r="H14" s="48">
        <f>19100/2</f>
        <v>9550</v>
      </c>
      <c r="I14" s="48">
        <f>19100/2</f>
        <v>9550</v>
      </c>
      <c r="J14" s="48">
        <f t="shared" si="29"/>
        <v>25200</v>
      </c>
      <c r="K14" s="32" t="s">
        <v>47</v>
      </c>
      <c r="M14" s="39">
        <v>0</v>
      </c>
      <c r="N14" s="1">
        <v>17984</v>
      </c>
      <c r="O14" s="1"/>
      <c r="P14" s="1"/>
      <c r="Q14" s="1">
        <f t="shared" si="19"/>
        <v>17984</v>
      </c>
      <c r="R14" s="1">
        <f t="shared" si="20"/>
        <v>7216</v>
      </c>
      <c r="S14" s="36">
        <f t="shared" si="21"/>
        <v>0</v>
      </c>
      <c r="T14" s="36">
        <f t="shared" si="22"/>
        <v>2.9481967213114753</v>
      </c>
      <c r="U14" s="36">
        <f t="shared" si="23"/>
        <v>0</v>
      </c>
      <c r="V14" s="36">
        <f t="shared" si="24"/>
        <v>0</v>
      </c>
      <c r="W14" s="36">
        <f t="shared" si="25"/>
        <v>0.71365079365079365</v>
      </c>
      <c r="X14" s="46" t="s">
        <v>67</v>
      </c>
    </row>
    <row r="15" spans="2:24">
      <c r="B15" s="1" t="b">
        <f t="shared" ref="B15" si="30">ISNUMBER(SEARCH("tööjõukulu",C15,1))</f>
        <v>1</v>
      </c>
      <c r="C15" s="2" t="s">
        <v>15</v>
      </c>
      <c r="D15" s="1">
        <v>0</v>
      </c>
      <c r="E15" s="1">
        <v>0</v>
      </c>
      <c r="F15" s="1">
        <v>22382.2</v>
      </c>
      <c r="G15" s="1">
        <v>22019</v>
      </c>
      <c r="H15" s="1">
        <v>23608</v>
      </c>
      <c r="I15" s="1">
        <v>22972.400000000001</v>
      </c>
      <c r="J15" s="1">
        <f t="shared" ref="J15" si="31">SUM(F15:I15)</f>
        <v>90981.6</v>
      </c>
      <c r="K15" s="32"/>
      <c r="M15" s="39">
        <v>22284</v>
      </c>
      <c r="N15" s="1">
        <v>21922</v>
      </c>
      <c r="O15" s="1"/>
      <c r="P15" s="1"/>
      <c r="Q15" s="1">
        <f t="shared" si="19"/>
        <v>44206</v>
      </c>
      <c r="R15" s="1">
        <f t="shared" si="20"/>
        <v>46775.600000000006</v>
      </c>
      <c r="S15" s="36">
        <f t="shared" si="21"/>
        <v>0.99561258500058081</v>
      </c>
      <c r="T15" s="36">
        <f t="shared" si="22"/>
        <v>0.99559471365638763</v>
      </c>
      <c r="U15" s="36">
        <f t="shared" si="23"/>
        <v>0</v>
      </c>
      <c r="V15" s="36">
        <f t="shared" si="24"/>
        <v>0</v>
      </c>
      <c r="W15" s="36">
        <f t="shared" si="25"/>
        <v>0.48587846333764184</v>
      </c>
      <c r="X15" s="46"/>
    </row>
    <row r="16" spans="2:24">
      <c r="B16" s="26" t="b">
        <f>ISNUMBER(SEARCH("tööjõukulu",C16,1))</f>
        <v>0</v>
      </c>
      <c r="C16" s="27" t="s">
        <v>6</v>
      </c>
      <c r="D16" s="28">
        <f>SUM(D17:D21)</f>
        <v>160313</v>
      </c>
      <c r="E16" s="28">
        <f t="shared" ref="E16:I16" si="32">SUM(E17:E21)</f>
        <v>100000</v>
      </c>
      <c r="F16" s="28">
        <f t="shared" si="32"/>
        <v>165671.02000000002</v>
      </c>
      <c r="G16" s="28">
        <f t="shared" si="32"/>
        <v>77518.3</v>
      </c>
      <c r="H16" s="28">
        <f t="shared" si="32"/>
        <v>85608</v>
      </c>
      <c r="I16" s="28">
        <f t="shared" si="32"/>
        <v>84972.4</v>
      </c>
      <c r="J16" s="28">
        <f t="shared" si="2"/>
        <v>413769.72</v>
      </c>
      <c r="K16" s="33"/>
      <c r="M16" s="28">
        <f>SUM(M17:M21)</f>
        <v>125587.65000000001</v>
      </c>
      <c r="N16" s="28">
        <f>SUM(N17:N21)</f>
        <v>75423.920000000013</v>
      </c>
      <c r="O16" s="28">
        <f t="shared" ref="O16:P16" si="33">SUM(O17:O21)</f>
        <v>0</v>
      </c>
      <c r="P16" s="28">
        <f t="shared" si="33"/>
        <v>0</v>
      </c>
      <c r="Q16" s="28">
        <f>SUM(Q17:Q21)</f>
        <v>201011.57</v>
      </c>
      <c r="R16" s="28">
        <f>SUM(R17:R21)</f>
        <v>212758.15</v>
      </c>
      <c r="S16" s="35">
        <f>IFERROR(M16/F16,0)</f>
        <v>0.75805442617544094</v>
      </c>
      <c r="T16" s="35">
        <f t="shared" si="22"/>
        <v>0.97298212164095454</v>
      </c>
      <c r="U16" s="35">
        <f>IFERROR(O16/H16,0)</f>
        <v>0</v>
      </c>
      <c r="V16" s="35">
        <f t="shared" si="24"/>
        <v>0</v>
      </c>
      <c r="W16" s="35">
        <f>IFERROR(Q16/J16,0)</f>
        <v>0.48580541369726143</v>
      </c>
      <c r="X16" s="46"/>
    </row>
    <row r="17" spans="2:24">
      <c r="B17" s="1" t="b">
        <f>ISNUMBER(SEARCH("tööjõukulu",C17,1))</f>
        <v>0</v>
      </c>
      <c r="C17" s="2" t="s">
        <v>26</v>
      </c>
      <c r="D17" s="1">
        <v>46604</v>
      </c>
      <c r="E17" s="1">
        <v>0</v>
      </c>
      <c r="F17" s="1">
        <f>D17*1.24</f>
        <v>57788.959999999999</v>
      </c>
      <c r="G17" s="1">
        <v>0</v>
      </c>
      <c r="H17" s="1">
        <v>0</v>
      </c>
      <c r="I17" s="1">
        <v>0</v>
      </c>
      <c r="J17" s="1">
        <f>SUM(F17:I17)</f>
        <v>57788.959999999999</v>
      </c>
      <c r="K17" s="32" t="s">
        <v>47</v>
      </c>
      <c r="M17" s="39">
        <v>29181.910000000003</v>
      </c>
      <c r="N17" s="1">
        <v>0</v>
      </c>
      <c r="O17" s="1"/>
      <c r="P17" s="1"/>
      <c r="Q17" s="1">
        <f t="shared" ref="Q17:Q21" si="34">SUM(M17:P17)</f>
        <v>29181.910000000003</v>
      </c>
      <c r="R17" s="1">
        <f t="shared" ref="R17:R21" si="35">J17-Q17</f>
        <v>28607.049999999996</v>
      </c>
      <c r="S17" s="36">
        <f t="shared" ref="S17:S21" si="36">IFERROR(M17/F17,0)</f>
        <v>0.50497378738084231</v>
      </c>
      <c r="T17" s="36">
        <f t="shared" ref="T17:T21" si="37">IFERROR(N17/G17,0)</f>
        <v>0</v>
      </c>
      <c r="U17" s="36">
        <f t="shared" ref="U17:U21" si="38">IFERROR(O17/H17,0)</f>
        <v>0</v>
      </c>
      <c r="V17" s="36">
        <f t="shared" ref="V17:V21" si="39">IFERROR(P17/I17,0)</f>
        <v>0</v>
      </c>
      <c r="W17" s="36">
        <f t="shared" ref="W17:W21" si="40">IFERROR(Q17/J17,0)</f>
        <v>0.50497378738084231</v>
      </c>
      <c r="X17" s="46"/>
    </row>
    <row r="18" spans="2:24">
      <c r="B18" s="1" t="b">
        <f>ISNUMBER(SEARCH("tööjõukulu",C18,1))</f>
        <v>0</v>
      </c>
      <c r="C18" s="2" t="s">
        <v>27</v>
      </c>
      <c r="D18" s="1">
        <v>61290</v>
      </c>
      <c r="E18" s="1">
        <v>100000</v>
      </c>
      <c r="F18" s="1">
        <f t="shared" ref="F18" si="41">D18/2*1.24</f>
        <v>37999.800000000003</v>
      </c>
      <c r="G18" s="1">
        <f t="shared" ref="G18" si="42">D18/2*1.24</f>
        <v>37999.800000000003</v>
      </c>
      <c r="H18" s="1">
        <f t="shared" ref="H18:H19" si="43">E18/2*1.24</f>
        <v>62000</v>
      </c>
      <c r="I18" s="1">
        <f>E18/2*1.24</f>
        <v>62000</v>
      </c>
      <c r="J18" s="1">
        <f t="shared" si="2"/>
        <v>199999.6</v>
      </c>
      <c r="K18" s="32" t="s">
        <v>47</v>
      </c>
      <c r="M18" s="39">
        <v>48528.14</v>
      </c>
      <c r="N18" s="1">
        <v>23976.240000000005</v>
      </c>
      <c r="O18" s="1"/>
      <c r="P18" s="1"/>
      <c r="Q18" s="1">
        <f t="shared" si="34"/>
        <v>72504.38</v>
      </c>
      <c r="R18" s="1">
        <f t="shared" si="35"/>
        <v>127495.22</v>
      </c>
      <c r="S18" s="36">
        <f t="shared" si="36"/>
        <v>1.2770630371738798</v>
      </c>
      <c r="T18" s="36">
        <f t="shared" si="37"/>
        <v>0.63095700503686869</v>
      </c>
      <c r="U18" s="36">
        <f t="shared" si="38"/>
        <v>0</v>
      </c>
      <c r="V18" s="36">
        <f t="shared" si="39"/>
        <v>0</v>
      </c>
      <c r="W18" s="36">
        <f t="shared" si="40"/>
        <v>0.36252262504525012</v>
      </c>
      <c r="X18" s="46"/>
    </row>
    <row r="19" spans="2:24">
      <c r="B19" s="1" t="b">
        <f t="shared" ref="B19:B39" si="44">ISNUMBER(SEARCH("tööjõukulu",C19,1))</f>
        <v>0</v>
      </c>
      <c r="C19" s="2" t="s">
        <v>28</v>
      </c>
      <c r="D19" s="1">
        <v>24194</v>
      </c>
      <c r="E19" s="1">
        <v>0</v>
      </c>
      <c r="F19" s="1">
        <f>D19*1.24</f>
        <v>30000.560000000001</v>
      </c>
      <c r="G19" s="1">
        <v>0</v>
      </c>
      <c r="H19" s="1">
        <f t="shared" si="43"/>
        <v>0</v>
      </c>
      <c r="I19" s="1">
        <f>E19/2*1.24</f>
        <v>0</v>
      </c>
      <c r="J19" s="1">
        <f t="shared" si="2"/>
        <v>30000.560000000001</v>
      </c>
      <c r="K19" s="32" t="s">
        <v>47</v>
      </c>
      <c r="M19" s="39">
        <v>21270.959999999999</v>
      </c>
      <c r="N19" s="1">
        <v>8715.2200000000012</v>
      </c>
      <c r="O19" s="1"/>
      <c r="P19" s="1"/>
      <c r="Q19" s="1">
        <f t="shared" si="34"/>
        <v>29986.18</v>
      </c>
      <c r="R19" s="1">
        <f t="shared" si="35"/>
        <v>14.380000000001019</v>
      </c>
      <c r="S19" s="36">
        <f t="shared" si="36"/>
        <v>0.70901876498305361</v>
      </c>
      <c r="T19" s="36">
        <f t="shared" si="37"/>
        <v>0</v>
      </c>
      <c r="U19" s="36">
        <f t="shared" si="38"/>
        <v>0</v>
      </c>
      <c r="V19" s="36">
        <f t="shared" si="39"/>
        <v>0</v>
      </c>
      <c r="W19" s="36">
        <f t="shared" si="40"/>
        <v>0.99952067561405522</v>
      </c>
      <c r="X19" s="46"/>
    </row>
    <row r="20" spans="2:24">
      <c r="B20" s="1" t="b">
        <f t="shared" ref="B20" si="45">ISNUMBER(SEARCH("tööjõukulu",C20,1))</f>
        <v>0</v>
      </c>
      <c r="C20" s="2" t="s">
        <v>29</v>
      </c>
      <c r="D20" s="1">
        <v>28225</v>
      </c>
      <c r="E20" s="1">
        <v>0</v>
      </c>
      <c r="F20" s="1">
        <f>D20/2*1.24</f>
        <v>17499.5</v>
      </c>
      <c r="G20" s="1">
        <f>D20/2*1.24</f>
        <v>17499.5</v>
      </c>
      <c r="H20" s="1">
        <f t="shared" ref="H20" si="46">E20/2*1.24</f>
        <v>0</v>
      </c>
      <c r="I20" s="1">
        <f>E20/2*1.24</f>
        <v>0</v>
      </c>
      <c r="J20" s="1">
        <f t="shared" ref="J20" si="47">SUM(F20:I20)</f>
        <v>34999</v>
      </c>
      <c r="K20" s="32" t="s">
        <v>47</v>
      </c>
      <c r="M20" s="39">
        <v>4322.6400000000003</v>
      </c>
      <c r="N20" s="1">
        <v>20810.46</v>
      </c>
      <c r="O20" s="1"/>
      <c r="P20" s="1"/>
      <c r="Q20" s="1">
        <f t="shared" si="34"/>
        <v>25133.1</v>
      </c>
      <c r="R20" s="1">
        <f t="shared" si="35"/>
        <v>9865.9000000000015</v>
      </c>
      <c r="S20" s="36">
        <f t="shared" si="36"/>
        <v>0.24701505757307354</v>
      </c>
      <c r="T20" s="36">
        <f t="shared" si="37"/>
        <v>1.1892031200891453</v>
      </c>
      <c r="U20" s="36">
        <f t="shared" si="38"/>
        <v>0</v>
      </c>
      <c r="V20" s="36">
        <f t="shared" si="39"/>
        <v>0</v>
      </c>
      <c r="W20" s="36">
        <f t="shared" si="40"/>
        <v>0.71810908883110947</v>
      </c>
      <c r="X20" s="46" t="s">
        <v>66</v>
      </c>
    </row>
    <row r="21" spans="2:24">
      <c r="B21" s="1" t="b">
        <f t="shared" si="44"/>
        <v>1</v>
      </c>
      <c r="C21" s="2" t="s">
        <v>15</v>
      </c>
      <c r="D21" s="1">
        <v>0</v>
      </c>
      <c r="E21" s="1">
        <v>0</v>
      </c>
      <c r="F21" s="1">
        <v>22382.2</v>
      </c>
      <c r="G21" s="1">
        <v>22019</v>
      </c>
      <c r="H21" s="1">
        <v>23608</v>
      </c>
      <c r="I21" s="1">
        <v>22972.400000000001</v>
      </c>
      <c r="J21" s="1">
        <f t="shared" si="2"/>
        <v>90981.6</v>
      </c>
      <c r="K21" s="32"/>
      <c r="M21" s="39">
        <v>22284</v>
      </c>
      <c r="N21" s="1">
        <v>21922</v>
      </c>
      <c r="O21" s="1"/>
      <c r="P21" s="1"/>
      <c r="Q21" s="1">
        <f t="shared" si="34"/>
        <v>44206</v>
      </c>
      <c r="R21" s="1">
        <f t="shared" si="35"/>
        <v>46775.600000000006</v>
      </c>
      <c r="S21" s="36">
        <f t="shared" si="36"/>
        <v>0.99561258500058081</v>
      </c>
      <c r="T21" s="36">
        <f t="shared" si="37"/>
        <v>0.99559471365638763</v>
      </c>
      <c r="U21" s="36">
        <f t="shared" si="38"/>
        <v>0</v>
      </c>
      <c r="V21" s="36">
        <f t="shared" si="39"/>
        <v>0</v>
      </c>
      <c r="W21" s="36">
        <f t="shared" si="40"/>
        <v>0.48587846333764184</v>
      </c>
      <c r="X21" s="46"/>
    </row>
    <row r="22" spans="2:24">
      <c r="B22" s="26" t="b">
        <f t="shared" si="44"/>
        <v>0</v>
      </c>
      <c r="C22" s="27" t="s">
        <v>5</v>
      </c>
      <c r="D22" s="28">
        <f t="shared" ref="D22:E22" si="48">SUM(D23:D29)</f>
        <v>390000</v>
      </c>
      <c r="E22" s="28">
        <f t="shared" si="48"/>
        <v>300000</v>
      </c>
      <c r="F22" s="28">
        <f>SUM(F23:F29)</f>
        <v>70186.700000000012</v>
      </c>
      <c r="G22" s="28">
        <f>SUM(G23:G29)</f>
        <v>260091.34</v>
      </c>
      <c r="H22" s="28">
        <f>SUM(H23:H29)</f>
        <v>300183</v>
      </c>
      <c r="I22" s="28">
        <f>SUM(I23:I29)</f>
        <v>316120.56000000006</v>
      </c>
      <c r="J22" s="28">
        <f>SUM(F22:I22)</f>
        <v>946581.60000000009</v>
      </c>
      <c r="K22" s="34"/>
      <c r="M22" s="28">
        <f>SUM(M23:M29)</f>
        <v>70088.5</v>
      </c>
      <c r="N22" s="28">
        <f>SUM(N23:N29)</f>
        <v>259994.88</v>
      </c>
      <c r="O22" s="28">
        <f t="shared" ref="O22:P22" si="49">SUM(O23:O29)</f>
        <v>0</v>
      </c>
      <c r="P22" s="28">
        <f t="shared" si="49"/>
        <v>0</v>
      </c>
      <c r="Q22" s="28">
        <f>SUM(Q23:Q29)</f>
        <v>330083.38</v>
      </c>
      <c r="R22" s="28">
        <f>SUM(R23:R29)</f>
        <v>616498.22000000009</v>
      </c>
      <c r="S22" s="37">
        <f t="shared" ref="S22:S38" si="50">IFERROR(M22/F22,0)</f>
        <v>0.99860087452466051</v>
      </c>
      <c r="T22" s="37">
        <f t="shared" ref="T22:T39" si="51">IFERROR(N22/G22,0)</f>
        <v>0.99962913028938216</v>
      </c>
      <c r="U22" s="37">
        <f t="shared" ref="U22:U39" si="52">IFERROR(O22/H22,0)</f>
        <v>0</v>
      </c>
      <c r="V22" s="37">
        <f t="shared" ref="V22:V39" si="53">IFERROR(P22/I22,0)</f>
        <v>0</v>
      </c>
      <c r="W22" s="37">
        <f>IFERROR(Q22/J22,0)</f>
        <v>0.34871096163289034</v>
      </c>
      <c r="X22" s="46"/>
    </row>
    <row r="23" spans="2:24">
      <c r="B23" s="1" t="b">
        <f t="shared" si="44"/>
        <v>0</v>
      </c>
      <c r="C23" s="31" t="s">
        <v>21</v>
      </c>
      <c r="D23" s="1">
        <v>90000</v>
      </c>
      <c r="E23" s="1">
        <v>0</v>
      </c>
      <c r="F23" s="48">
        <v>47101.58</v>
      </c>
      <c r="G23" s="48">
        <v>15412.900000000001</v>
      </c>
      <c r="H23" s="48">
        <v>10000</v>
      </c>
      <c r="I23" s="48">
        <f>80000-H23-G23-F23</f>
        <v>7485.5199999999968</v>
      </c>
      <c r="J23" s="48">
        <f t="shared" si="2"/>
        <v>80000</v>
      </c>
      <c r="K23" s="32" t="s">
        <v>47</v>
      </c>
      <c r="M23" s="39">
        <v>47101.58</v>
      </c>
      <c r="N23" s="1">
        <v>15412.900000000001</v>
      </c>
      <c r="O23" s="1"/>
      <c r="P23" s="1"/>
      <c r="Q23" s="1">
        <f>SUM(M23:P23)</f>
        <v>62514.48</v>
      </c>
      <c r="R23" s="1">
        <f>J23-Q23</f>
        <v>17485.519999999997</v>
      </c>
      <c r="S23" s="36">
        <f t="shared" si="50"/>
        <v>1</v>
      </c>
      <c r="T23" s="36">
        <f t="shared" si="51"/>
        <v>1</v>
      </c>
      <c r="U23" s="36">
        <f t="shared" si="52"/>
        <v>0</v>
      </c>
      <c r="V23" s="36">
        <f t="shared" si="53"/>
        <v>0</v>
      </c>
      <c r="W23" s="36">
        <f t="shared" ref="W23:W39" si="54">IFERROR(Q23/J23,0)</f>
        <v>0.78143099999999999</v>
      </c>
      <c r="X23" s="46" t="s">
        <v>68</v>
      </c>
    </row>
    <row r="24" spans="2:24">
      <c r="B24" s="1" t="b">
        <f t="shared" si="44"/>
        <v>0</v>
      </c>
      <c r="C24" s="31" t="s">
        <v>24</v>
      </c>
      <c r="D24" s="1">
        <v>100000</v>
      </c>
      <c r="E24" s="1">
        <v>50000</v>
      </c>
      <c r="F24" s="48">
        <v>578.87</v>
      </c>
      <c r="G24" s="48">
        <v>9868.5099999999984</v>
      </c>
      <c r="H24" s="48">
        <v>36575</v>
      </c>
      <c r="I24" s="48">
        <f>70000-H24-G24-F24</f>
        <v>22977.620000000003</v>
      </c>
      <c r="J24" s="48">
        <f t="shared" si="2"/>
        <v>70000</v>
      </c>
      <c r="K24" s="32" t="s">
        <v>47</v>
      </c>
      <c r="M24" s="39">
        <v>578.87</v>
      </c>
      <c r="N24" s="1">
        <v>9868.5099999999984</v>
      </c>
      <c r="O24" s="1"/>
      <c r="P24" s="1"/>
      <c r="Q24" s="1">
        <f t="shared" ref="Q24:Q29" si="55">SUM(M24:P24)</f>
        <v>10447.379999999999</v>
      </c>
      <c r="R24" s="1">
        <f t="shared" ref="R24:R28" si="56">J24-Q24</f>
        <v>59552.62</v>
      </c>
      <c r="S24" s="36">
        <f t="shared" si="50"/>
        <v>1</v>
      </c>
      <c r="T24" s="36">
        <f t="shared" si="51"/>
        <v>1</v>
      </c>
      <c r="U24" s="36">
        <f t="shared" si="52"/>
        <v>0</v>
      </c>
      <c r="V24" s="36">
        <f t="shared" si="53"/>
        <v>0</v>
      </c>
      <c r="W24" s="36">
        <f t="shared" si="54"/>
        <v>0.14924828571428569</v>
      </c>
      <c r="X24" s="46" t="s">
        <v>69</v>
      </c>
    </row>
    <row r="25" spans="2:24">
      <c r="B25" s="1" t="b">
        <f t="shared" si="44"/>
        <v>0</v>
      </c>
      <c r="C25" s="31" t="s">
        <v>25</v>
      </c>
      <c r="D25" s="1">
        <v>200000</v>
      </c>
      <c r="E25" s="1">
        <v>250000</v>
      </c>
      <c r="F25" s="48">
        <v>124.05</v>
      </c>
      <c r="G25" s="48">
        <v>100413.93</v>
      </c>
      <c r="H25" s="48">
        <v>100000</v>
      </c>
      <c r="I25" s="48">
        <f>300000-H25-G25-F25</f>
        <v>99462.02</v>
      </c>
      <c r="J25" s="48">
        <f t="shared" si="2"/>
        <v>300000</v>
      </c>
      <c r="K25" s="32" t="s">
        <v>47</v>
      </c>
      <c r="M25" s="39">
        <v>124.05</v>
      </c>
      <c r="N25" s="1">
        <v>100413.93</v>
      </c>
      <c r="O25" s="1"/>
      <c r="P25" s="1"/>
      <c r="Q25" s="1">
        <f t="shared" si="55"/>
        <v>100537.98</v>
      </c>
      <c r="R25" s="1">
        <f t="shared" si="56"/>
        <v>199462.02000000002</v>
      </c>
      <c r="S25" s="36">
        <f t="shared" si="50"/>
        <v>1</v>
      </c>
      <c r="T25" s="36">
        <f t="shared" si="51"/>
        <v>1</v>
      </c>
      <c r="U25" s="36">
        <f t="shared" si="52"/>
        <v>0</v>
      </c>
      <c r="V25" s="36">
        <f t="shared" si="53"/>
        <v>0</v>
      </c>
      <c r="W25" s="36">
        <f t="shared" si="54"/>
        <v>0.3351266</v>
      </c>
      <c r="X25" s="46" t="s">
        <v>70</v>
      </c>
    </row>
    <row r="26" spans="2:24">
      <c r="B26" s="1"/>
      <c r="C26" s="31" t="s">
        <v>60</v>
      </c>
      <c r="D26" s="1"/>
      <c r="E26" s="1"/>
      <c r="F26" s="48">
        <v>0</v>
      </c>
      <c r="G26" s="48">
        <v>1816</v>
      </c>
      <c r="H26" s="48">
        <v>30000</v>
      </c>
      <c r="I26" s="48">
        <f>120000-H26-G26-F26</f>
        <v>88184</v>
      </c>
      <c r="J26" s="48">
        <f t="shared" si="2"/>
        <v>120000</v>
      </c>
      <c r="K26" s="32"/>
      <c r="M26" s="39">
        <v>0</v>
      </c>
      <c r="N26" s="1">
        <v>1816.1</v>
      </c>
      <c r="O26" s="1"/>
      <c r="P26" s="1"/>
      <c r="Q26" s="1">
        <f t="shared" si="55"/>
        <v>1816.1</v>
      </c>
      <c r="R26" s="1">
        <f t="shared" si="56"/>
        <v>118183.9</v>
      </c>
      <c r="S26" s="36">
        <f t="shared" ref="S26:S28" si="57">IFERROR(M26/F26,0)</f>
        <v>0</v>
      </c>
      <c r="T26" s="36">
        <f t="shared" ref="T26:T28" si="58">IFERROR(N26/G26,0)</f>
        <v>1.0000550660792951</v>
      </c>
      <c r="U26" s="36">
        <f t="shared" ref="U26:U28" si="59">IFERROR(O26/H26,0)</f>
        <v>0</v>
      </c>
      <c r="V26" s="36">
        <f t="shared" ref="V26:V28" si="60">IFERROR(P26/I26,0)</f>
        <v>0</v>
      </c>
      <c r="W26" s="36">
        <f t="shared" ref="W26:W28" si="61">IFERROR(Q26/J26,0)</f>
        <v>1.5134166666666666E-2</v>
      </c>
      <c r="X26" s="46" t="s">
        <v>71</v>
      </c>
    </row>
    <row r="27" spans="2:24">
      <c r="B27" s="1"/>
      <c r="C27" s="31" t="s">
        <v>61</v>
      </c>
      <c r="D27" s="1"/>
      <c r="E27" s="1"/>
      <c r="F27" s="48">
        <v>0</v>
      </c>
      <c r="G27" s="48">
        <v>0</v>
      </c>
      <c r="H27" s="48">
        <v>50000</v>
      </c>
      <c r="I27" s="48">
        <f>60000-H27-G27-F27</f>
        <v>10000</v>
      </c>
      <c r="J27" s="48">
        <f t="shared" si="2"/>
        <v>60000</v>
      </c>
      <c r="K27" s="32"/>
      <c r="M27" s="39">
        <v>0</v>
      </c>
      <c r="N27" s="1">
        <v>0</v>
      </c>
      <c r="O27" s="1"/>
      <c r="P27" s="1"/>
      <c r="Q27" s="1">
        <f t="shared" si="55"/>
        <v>0</v>
      </c>
      <c r="R27" s="1">
        <f t="shared" si="56"/>
        <v>60000</v>
      </c>
      <c r="S27" s="36">
        <f t="shared" si="57"/>
        <v>0</v>
      </c>
      <c r="T27" s="36">
        <f t="shared" si="58"/>
        <v>0</v>
      </c>
      <c r="U27" s="36">
        <f t="shared" si="59"/>
        <v>0</v>
      </c>
      <c r="V27" s="36">
        <f t="shared" si="60"/>
        <v>0</v>
      </c>
      <c r="W27" s="36">
        <f t="shared" si="61"/>
        <v>0</v>
      </c>
      <c r="X27" s="46" t="s">
        <v>72</v>
      </c>
    </row>
    <row r="28" spans="2:24">
      <c r="B28" s="1"/>
      <c r="C28" s="31" t="s">
        <v>62</v>
      </c>
      <c r="D28" s="1"/>
      <c r="E28" s="1"/>
      <c r="F28" s="48">
        <v>0</v>
      </c>
      <c r="G28" s="48">
        <v>110561</v>
      </c>
      <c r="H28" s="48">
        <v>50000</v>
      </c>
      <c r="I28" s="48">
        <f>225600-H28-G28-F28</f>
        <v>65039</v>
      </c>
      <c r="J28" s="48">
        <f t="shared" si="2"/>
        <v>225600</v>
      </c>
      <c r="K28" s="32"/>
      <c r="M28" s="39">
        <v>0</v>
      </c>
      <c r="N28" s="1">
        <v>110561.44</v>
      </c>
      <c r="O28" s="1"/>
      <c r="P28" s="1"/>
      <c r="Q28" s="1">
        <f t="shared" si="55"/>
        <v>110561.44</v>
      </c>
      <c r="R28" s="1">
        <f t="shared" si="56"/>
        <v>115038.56</v>
      </c>
      <c r="S28" s="36">
        <f t="shared" si="57"/>
        <v>0</v>
      </c>
      <c r="T28" s="36">
        <f t="shared" si="58"/>
        <v>1.0000039797035121</v>
      </c>
      <c r="U28" s="36">
        <f t="shared" si="59"/>
        <v>0</v>
      </c>
      <c r="V28" s="36">
        <f t="shared" si="60"/>
        <v>0</v>
      </c>
      <c r="W28" s="36">
        <f t="shared" si="61"/>
        <v>0.490077304964539</v>
      </c>
      <c r="X28" s="46" t="s">
        <v>73</v>
      </c>
    </row>
    <row r="29" spans="2:24">
      <c r="B29" s="1" t="b">
        <f t="shared" si="44"/>
        <v>1</v>
      </c>
      <c r="C29" s="2" t="s">
        <v>15</v>
      </c>
      <c r="D29" s="1">
        <v>0</v>
      </c>
      <c r="E29" s="1">
        <v>0</v>
      </c>
      <c r="F29" s="1">
        <v>22382.2</v>
      </c>
      <c r="G29" s="1">
        <v>22019</v>
      </c>
      <c r="H29" s="1">
        <v>23608</v>
      </c>
      <c r="I29" s="1">
        <v>22972.400000000001</v>
      </c>
      <c r="J29" s="1">
        <f t="shared" si="2"/>
        <v>90981.6</v>
      </c>
      <c r="K29" s="32"/>
      <c r="M29" s="39">
        <v>22284</v>
      </c>
      <c r="N29" s="1">
        <v>21922</v>
      </c>
      <c r="O29" s="1"/>
      <c r="P29" s="1"/>
      <c r="Q29" s="1">
        <f t="shared" si="55"/>
        <v>44206</v>
      </c>
      <c r="R29" s="1">
        <f>J29-Q29</f>
        <v>46775.600000000006</v>
      </c>
      <c r="S29" s="36">
        <f t="shared" si="50"/>
        <v>0.99561258500058081</v>
      </c>
      <c r="T29" s="36">
        <f t="shared" si="51"/>
        <v>0.99559471365638763</v>
      </c>
      <c r="U29" s="36">
        <f t="shared" si="52"/>
        <v>0</v>
      </c>
      <c r="V29" s="36">
        <f t="shared" si="53"/>
        <v>0</v>
      </c>
      <c r="W29" s="36">
        <f t="shared" si="54"/>
        <v>0.48587846333764184</v>
      </c>
      <c r="X29" s="46"/>
    </row>
    <row r="30" spans="2:24">
      <c r="B30" s="26" t="b">
        <f t="shared" si="44"/>
        <v>0</v>
      </c>
      <c r="C30" s="27" t="s">
        <v>12</v>
      </c>
      <c r="D30" s="29">
        <f>SUM(D31:D32)</f>
        <v>112360</v>
      </c>
      <c r="E30" s="29">
        <f t="shared" ref="E30:I30" si="62">SUM(E31:E32)</f>
        <v>0</v>
      </c>
      <c r="F30" s="29">
        <f t="shared" si="62"/>
        <v>90499.199999999997</v>
      </c>
      <c r="G30" s="29">
        <f t="shared" si="62"/>
        <v>173293.47</v>
      </c>
      <c r="H30" s="29">
        <f t="shared" si="62"/>
        <v>21925.73</v>
      </c>
      <c r="I30" s="29">
        <f t="shared" si="62"/>
        <v>0</v>
      </c>
      <c r="J30" s="28">
        <f t="shared" si="2"/>
        <v>285718.39999999997</v>
      </c>
      <c r="K30" s="33"/>
      <c r="M30" s="28">
        <f>SUM(M31:M32)</f>
        <v>147400.08000000002</v>
      </c>
      <c r="N30" s="28">
        <f>SUM(N31:N32)</f>
        <v>124242.62999999998</v>
      </c>
      <c r="O30" s="28">
        <f t="shared" ref="O30:P30" si="63">SUM(O31:O32)</f>
        <v>0</v>
      </c>
      <c r="P30" s="28">
        <f t="shared" si="63"/>
        <v>0</v>
      </c>
      <c r="Q30" s="28">
        <f>SUM(Q31:Q32)</f>
        <v>271642.70999999996</v>
      </c>
      <c r="R30" s="28">
        <f>SUM(R31:R32)</f>
        <v>14075.690000000002</v>
      </c>
      <c r="S30" s="38">
        <f t="shared" si="50"/>
        <v>1.6287445634878543</v>
      </c>
      <c r="T30" s="38">
        <f t="shared" si="51"/>
        <v>0.71694928839499827</v>
      </c>
      <c r="U30" s="38">
        <f t="shared" si="52"/>
        <v>0</v>
      </c>
      <c r="V30" s="38">
        <f t="shared" si="53"/>
        <v>0</v>
      </c>
      <c r="W30" s="38">
        <f>IFERROR(Q30/J30,0)</f>
        <v>0.95073579440456057</v>
      </c>
      <c r="X30" s="46"/>
    </row>
    <row r="31" spans="2:24">
      <c r="B31" s="1" t="b">
        <f t="shared" si="44"/>
        <v>0</v>
      </c>
      <c r="C31" s="2" t="s">
        <v>41</v>
      </c>
      <c r="D31" s="1">
        <v>112360</v>
      </c>
      <c r="E31" s="1">
        <v>0</v>
      </c>
      <c r="F31" s="47">
        <f>D31/2*1.24</f>
        <v>69663.199999999997</v>
      </c>
      <c r="G31" s="47">
        <f>D31/2*1.24+69794.27</f>
        <v>139457.47</v>
      </c>
      <c r="H31" s="47">
        <v>21925.73</v>
      </c>
      <c r="I31" s="47">
        <f t="shared" ref="I31" si="64">E31/2*1.24</f>
        <v>0</v>
      </c>
      <c r="J31" s="1">
        <f>SUM(F31:I31)</f>
        <v>231046.39999999999</v>
      </c>
      <c r="K31" s="32" t="s">
        <v>47</v>
      </c>
      <c r="M31" s="39">
        <v>118754.64000000001</v>
      </c>
      <c r="N31" s="49">
        <v>90365.629999999976</v>
      </c>
      <c r="O31" s="1"/>
      <c r="P31" s="1"/>
      <c r="Q31" s="1">
        <f t="shared" ref="Q31:Q32" si="65">SUM(M31:P31)</f>
        <v>209120.27</v>
      </c>
      <c r="R31" s="1">
        <f t="shared" ref="R31:R32" si="66">J31-Q31</f>
        <v>21926.130000000005</v>
      </c>
      <c r="S31" s="36">
        <f t="shared" si="50"/>
        <v>1.7046968844382691</v>
      </c>
      <c r="T31" s="36">
        <f t="shared" si="51"/>
        <v>0.64797984647218954</v>
      </c>
      <c r="U31" s="36">
        <f t="shared" si="52"/>
        <v>0</v>
      </c>
      <c r="V31" s="36">
        <f t="shared" si="53"/>
        <v>0</v>
      </c>
      <c r="W31" s="36">
        <f t="shared" si="54"/>
        <v>0.90510075032547577</v>
      </c>
      <c r="X31" s="46" t="s">
        <v>76</v>
      </c>
    </row>
    <row r="32" spans="2:24">
      <c r="B32" s="1" t="b">
        <f t="shared" ref="B32" si="67">ISNUMBER(SEARCH("tööjõukulu",C32,1))</f>
        <v>1</v>
      </c>
      <c r="C32" s="25" t="s">
        <v>42</v>
      </c>
      <c r="D32" s="1">
        <v>0</v>
      </c>
      <c r="E32" s="1">
        <v>0</v>
      </c>
      <c r="F32" s="47">
        <f>41672/2</f>
        <v>20836</v>
      </c>
      <c r="G32" s="47">
        <f>41672/2+13000</f>
        <v>33836</v>
      </c>
      <c r="H32" s="47">
        <f t="shared" ref="H32" si="68">E32/2*1.24</f>
        <v>0</v>
      </c>
      <c r="I32" s="47">
        <f t="shared" ref="I32" si="69">E32/2*1.24</f>
        <v>0</v>
      </c>
      <c r="J32" s="1">
        <f t="shared" ref="J32" si="70">SUM(F32:I32)</f>
        <v>54672</v>
      </c>
      <c r="K32" s="32" t="s">
        <v>47</v>
      </c>
      <c r="M32" s="1">
        <v>28645.439999999999</v>
      </c>
      <c r="N32" s="1">
        <v>33877</v>
      </c>
      <c r="O32" s="1"/>
      <c r="P32" s="1"/>
      <c r="Q32" s="1">
        <f t="shared" si="65"/>
        <v>62522.44</v>
      </c>
      <c r="R32" s="1">
        <f t="shared" si="66"/>
        <v>-7850.4400000000023</v>
      </c>
      <c r="S32" s="36">
        <f t="shared" si="50"/>
        <v>1.3748051449414473</v>
      </c>
      <c r="T32" s="36">
        <f t="shared" si="51"/>
        <v>1.00121172715451</v>
      </c>
      <c r="U32" s="36">
        <f t="shared" si="52"/>
        <v>0</v>
      </c>
      <c r="V32" s="36">
        <f t="shared" si="53"/>
        <v>0</v>
      </c>
      <c r="W32" s="36">
        <f t="shared" si="54"/>
        <v>1.1435916008194322</v>
      </c>
      <c r="X32" s="46" t="s">
        <v>75</v>
      </c>
    </row>
    <row r="33" spans="2:24">
      <c r="B33" s="26" t="b">
        <f t="shared" si="44"/>
        <v>0</v>
      </c>
      <c r="C33" s="27" t="s">
        <v>22</v>
      </c>
      <c r="D33" s="28">
        <f>SUM(D34:D37)</f>
        <v>403628</v>
      </c>
      <c r="E33" s="28">
        <f t="shared" ref="E33:I33" si="71">SUM(E34:E37)</f>
        <v>0</v>
      </c>
      <c r="F33" s="28">
        <f t="shared" si="71"/>
        <v>290131.68</v>
      </c>
      <c r="G33" s="28">
        <f t="shared" si="71"/>
        <v>319768.24</v>
      </c>
      <c r="H33" s="28">
        <f t="shared" si="71"/>
        <v>23608</v>
      </c>
      <c r="I33" s="28">
        <f t="shared" si="71"/>
        <v>22972.400000000001</v>
      </c>
      <c r="J33" s="28">
        <f t="shared" si="2"/>
        <v>656480.31999999995</v>
      </c>
      <c r="K33" s="33"/>
      <c r="M33" s="28">
        <f>SUM(M34:M37)</f>
        <v>168304.29</v>
      </c>
      <c r="N33" s="28">
        <f>SUM(N34:N37)</f>
        <v>189521.84999999998</v>
      </c>
      <c r="O33" s="28">
        <f t="shared" ref="O33:P33" si="72">SUM(O34:O37)</f>
        <v>0</v>
      </c>
      <c r="P33" s="28">
        <f t="shared" si="72"/>
        <v>0</v>
      </c>
      <c r="Q33" s="28">
        <f>SUM(Q34:Q37)</f>
        <v>357826.14</v>
      </c>
      <c r="R33" s="28">
        <f>SUM(R34:R37)</f>
        <v>298654.17999999993</v>
      </c>
      <c r="S33" s="37">
        <f t="shared" si="50"/>
        <v>0.58009621700050129</v>
      </c>
      <c r="T33" s="37">
        <f t="shared" si="51"/>
        <v>0.59268503338542933</v>
      </c>
      <c r="U33" s="37">
        <f t="shared" si="52"/>
        <v>0</v>
      </c>
      <c r="V33" s="37">
        <f t="shared" si="53"/>
        <v>0</v>
      </c>
      <c r="W33" s="37">
        <f>IFERROR(Q33/J33,0)</f>
        <v>0.54506758100532249</v>
      </c>
      <c r="X33" s="46"/>
    </row>
    <row r="34" spans="2:24">
      <c r="B34" s="1" t="b">
        <f t="shared" si="44"/>
        <v>0</v>
      </c>
      <c r="C34" s="2" t="s">
        <v>31</v>
      </c>
      <c r="D34" s="1">
        <v>28226</v>
      </c>
      <c r="E34" s="1">
        <v>0</v>
      </c>
      <c r="F34" s="1">
        <f>D34*1.24</f>
        <v>35000.239999999998</v>
      </c>
      <c r="G34" s="48">
        <v>65000</v>
      </c>
      <c r="H34" s="1">
        <f t="shared" ref="H34:H35" si="73">E34/2*1.24</f>
        <v>0</v>
      </c>
      <c r="I34" s="1">
        <f t="shared" ref="I34:I35" si="74">E34/2*1.24</f>
        <v>0</v>
      </c>
      <c r="J34" s="1">
        <f t="shared" si="2"/>
        <v>100000.23999999999</v>
      </c>
      <c r="K34" s="32" t="s">
        <v>47</v>
      </c>
      <c r="M34" s="1">
        <v>73579.69</v>
      </c>
      <c r="N34" s="1">
        <v>25441.319999999992</v>
      </c>
      <c r="O34" s="1"/>
      <c r="P34" s="1"/>
      <c r="Q34" s="1">
        <f t="shared" ref="Q34:Q37" si="75">SUM(M34:P34)</f>
        <v>99021.01</v>
      </c>
      <c r="R34" s="1">
        <f t="shared" ref="R34:R37" si="76">J34-Q34</f>
        <v>979.22999999999593</v>
      </c>
      <c r="S34" s="36">
        <f t="shared" si="50"/>
        <v>2.1022624416289717</v>
      </c>
      <c r="T34" s="36">
        <f t="shared" si="51"/>
        <v>0.39140492307692298</v>
      </c>
      <c r="U34" s="36">
        <f t="shared" si="52"/>
        <v>0</v>
      </c>
      <c r="V34" s="36">
        <f t="shared" si="53"/>
        <v>0</v>
      </c>
      <c r="W34" s="36">
        <f t="shared" si="54"/>
        <v>0.99020772350146369</v>
      </c>
      <c r="X34" s="46" t="s">
        <v>74</v>
      </c>
    </row>
    <row r="35" spans="2:24">
      <c r="B35" s="1" t="b">
        <f t="shared" ref="B35:B36" si="77">ISNUMBER(SEARCH("tööjõukulu",C35,1))</f>
        <v>0</v>
      </c>
      <c r="C35" s="2" t="s">
        <v>32</v>
      </c>
      <c r="D35" s="1">
        <v>222177</v>
      </c>
      <c r="E35" s="1">
        <v>0</v>
      </c>
      <c r="F35" s="1">
        <f t="shared" ref="F35" si="78">D35/2*1.24</f>
        <v>137749.74</v>
      </c>
      <c r="G35" s="1">
        <f t="shared" ref="G35" si="79">D35/2*1.24</f>
        <v>137749.74</v>
      </c>
      <c r="H35" s="1">
        <f t="shared" si="73"/>
        <v>0</v>
      </c>
      <c r="I35" s="1">
        <f t="shared" si="74"/>
        <v>0</v>
      </c>
      <c r="J35" s="1">
        <f t="shared" ref="J35" si="80">SUM(F35:I35)</f>
        <v>275499.48</v>
      </c>
      <c r="K35" s="32" t="s">
        <v>47</v>
      </c>
      <c r="M35" s="1">
        <v>34201.75</v>
      </c>
      <c r="N35" s="1">
        <v>89059.61</v>
      </c>
      <c r="O35" s="1"/>
      <c r="P35" s="1"/>
      <c r="Q35" s="1">
        <f t="shared" si="75"/>
        <v>123261.36</v>
      </c>
      <c r="R35" s="1">
        <f t="shared" si="76"/>
        <v>152238.12</v>
      </c>
      <c r="S35" s="36">
        <f t="shared" si="50"/>
        <v>0.24828903488311485</v>
      </c>
      <c r="T35" s="36">
        <f t="shared" si="51"/>
        <v>0.64653196441604899</v>
      </c>
      <c r="U35" s="36">
        <f t="shared" si="52"/>
        <v>0</v>
      </c>
      <c r="V35" s="36">
        <f t="shared" si="53"/>
        <v>0</v>
      </c>
      <c r="W35" s="36">
        <f t="shared" si="54"/>
        <v>0.44741049964958196</v>
      </c>
      <c r="X35" s="46"/>
    </row>
    <row r="36" spans="2:24">
      <c r="B36" s="1" t="b">
        <f t="shared" si="77"/>
        <v>0</v>
      </c>
      <c r="C36" s="2" t="s">
        <v>33</v>
      </c>
      <c r="D36" s="1">
        <v>153225</v>
      </c>
      <c r="E36" s="1">
        <v>0</v>
      </c>
      <c r="F36" s="1">
        <f t="shared" ref="F36" si="81">D36/2*1.24</f>
        <v>94999.5</v>
      </c>
      <c r="G36" s="1">
        <f t="shared" ref="G36" si="82">D36/2*1.24</f>
        <v>94999.5</v>
      </c>
      <c r="H36" s="1">
        <f t="shared" ref="H36" si="83">E36/2*1.24</f>
        <v>0</v>
      </c>
      <c r="I36" s="1">
        <f t="shared" ref="I36" si="84">E36/2*1.24</f>
        <v>0</v>
      </c>
      <c r="J36" s="1">
        <f t="shared" ref="J36" si="85">SUM(F36:I36)</f>
        <v>189999</v>
      </c>
      <c r="K36" s="32" t="s">
        <v>47</v>
      </c>
      <c r="M36" s="1">
        <v>38238.850000000006</v>
      </c>
      <c r="N36" s="1">
        <v>53098.92</v>
      </c>
      <c r="O36" s="1"/>
      <c r="P36" s="1"/>
      <c r="Q36" s="1">
        <f t="shared" si="75"/>
        <v>91337.77</v>
      </c>
      <c r="R36" s="1">
        <f t="shared" si="76"/>
        <v>98661.23</v>
      </c>
      <c r="S36" s="36">
        <f t="shared" si="50"/>
        <v>0.40251632903331075</v>
      </c>
      <c r="T36" s="36">
        <f t="shared" si="51"/>
        <v>0.55893894178390413</v>
      </c>
      <c r="U36" s="36">
        <f t="shared" si="52"/>
        <v>0</v>
      </c>
      <c r="V36" s="36">
        <f t="shared" si="53"/>
        <v>0</v>
      </c>
      <c r="W36" s="36">
        <f t="shared" si="54"/>
        <v>0.48072763540860741</v>
      </c>
      <c r="X36" s="46"/>
    </row>
    <row r="37" spans="2:24">
      <c r="B37" s="1" t="b">
        <f t="shared" si="44"/>
        <v>1</v>
      </c>
      <c r="C37" s="2" t="s">
        <v>15</v>
      </c>
      <c r="D37" s="1">
        <v>0</v>
      </c>
      <c r="E37" s="1">
        <v>0</v>
      </c>
      <c r="F37" s="1">
        <v>22382.2</v>
      </c>
      <c r="G37" s="1">
        <v>22019</v>
      </c>
      <c r="H37" s="1">
        <v>23608</v>
      </c>
      <c r="I37" s="1">
        <v>22972.400000000001</v>
      </c>
      <c r="J37" s="1">
        <f t="shared" si="2"/>
        <v>90981.6</v>
      </c>
      <c r="K37" s="32"/>
      <c r="M37" s="1">
        <v>22284</v>
      </c>
      <c r="N37" s="1">
        <v>21922</v>
      </c>
      <c r="O37" s="1"/>
      <c r="P37" s="1"/>
      <c r="Q37" s="1">
        <f t="shared" si="75"/>
        <v>44206</v>
      </c>
      <c r="R37" s="1">
        <f t="shared" si="76"/>
        <v>46775.600000000006</v>
      </c>
      <c r="S37" s="36">
        <f t="shared" si="50"/>
        <v>0.99561258500058081</v>
      </c>
      <c r="T37" s="36">
        <f t="shared" si="51"/>
        <v>0.99559471365638763</v>
      </c>
      <c r="U37" s="36">
        <f t="shared" si="52"/>
        <v>0</v>
      </c>
      <c r="V37" s="36">
        <f t="shared" si="53"/>
        <v>0</v>
      </c>
      <c r="W37" s="36">
        <f t="shared" si="54"/>
        <v>0.48587846333764184</v>
      </c>
      <c r="X37" s="46"/>
    </row>
    <row r="38" spans="2:24">
      <c r="B38" s="26" t="b">
        <f t="shared" si="44"/>
        <v>0</v>
      </c>
      <c r="C38" s="27" t="s">
        <v>23</v>
      </c>
      <c r="D38" s="29">
        <f>D39</f>
        <v>27967</v>
      </c>
      <c r="E38" s="29">
        <f t="shared" ref="E38:I38" si="86">E39</f>
        <v>0</v>
      </c>
      <c r="F38" s="29">
        <f t="shared" si="86"/>
        <v>34679.08</v>
      </c>
      <c r="G38" s="29">
        <f t="shared" si="86"/>
        <v>0</v>
      </c>
      <c r="H38" s="29">
        <f t="shared" si="86"/>
        <v>0</v>
      </c>
      <c r="I38" s="29">
        <f t="shared" si="86"/>
        <v>0</v>
      </c>
      <c r="J38" s="28">
        <f t="shared" si="2"/>
        <v>34679.08</v>
      </c>
      <c r="K38" s="33"/>
      <c r="M38" s="29">
        <f>SUM(M39)</f>
        <v>34661.919999999998</v>
      </c>
      <c r="N38" s="29">
        <f>SUM(N39)</f>
        <v>0</v>
      </c>
      <c r="O38" s="29">
        <f t="shared" ref="O38:P38" si="87">SUM(O39)</f>
        <v>0</v>
      </c>
      <c r="P38" s="29">
        <f t="shared" si="87"/>
        <v>0</v>
      </c>
      <c r="Q38" s="29">
        <f>SUM(Q39)</f>
        <v>34661.919999999998</v>
      </c>
      <c r="R38" s="29">
        <f>SUM(R39)</f>
        <v>17.160000000003492</v>
      </c>
      <c r="S38" s="38">
        <f t="shared" si="50"/>
        <v>0.99950517718463106</v>
      </c>
      <c r="T38" s="38">
        <f t="shared" si="51"/>
        <v>0</v>
      </c>
      <c r="U38" s="38">
        <f t="shared" si="52"/>
        <v>0</v>
      </c>
      <c r="V38" s="38">
        <f t="shared" si="53"/>
        <v>0</v>
      </c>
      <c r="W38" s="38">
        <f>IFERROR(Q38/J38,0)</f>
        <v>0.99950517718463106</v>
      </c>
      <c r="X38" s="46"/>
    </row>
    <row r="39" spans="2:24">
      <c r="B39" s="1" t="b">
        <f t="shared" si="44"/>
        <v>0</v>
      </c>
      <c r="C39" s="2" t="s">
        <v>30</v>
      </c>
      <c r="D39" s="1">
        <v>27967</v>
      </c>
      <c r="E39" s="1">
        <v>0</v>
      </c>
      <c r="F39" s="1">
        <f>D39*1.24</f>
        <v>34679.08</v>
      </c>
      <c r="G39" s="1">
        <v>0</v>
      </c>
      <c r="H39" s="1">
        <f t="shared" ref="H39" si="88">E39/2*1.24</f>
        <v>0</v>
      </c>
      <c r="I39" s="1">
        <f t="shared" ref="I39" si="89">E39/2*1.24</f>
        <v>0</v>
      </c>
      <c r="J39" s="1">
        <f t="shared" si="2"/>
        <v>34679.08</v>
      </c>
      <c r="K39" s="32" t="s">
        <v>47</v>
      </c>
      <c r="M39" s="1">
        <v>34661.919999999998</v>
      </c>
      <c r="N39" s="1">
        <v>0</v>
      </c>
      <c r="O39" s="1"/>
      <c r="P39" s="1"/>
      <c r="Q39" s="1">
        <f>SUM(M39:P39)</f>
        <v>34661.919999999998</v>
      </c>
      <c r="R39" s="1">
        <f>J39-Q39</f>
        <v>17.160000000003492</v>
      </c>
      <c r="S39" s="36">
        <f>IFERROR(M39/F39,0)</f>
        <v>0.99950517718463106</v>
      </c>
      <c r="T39" s="36">
        <f t="shared" si="51"/>
        <v>0</v>
      </c>
      <c r="U39" s="36">
        <f t="shared" si="52"/>
        <v>0</v>
      </c>
      <c r="V39" s="36">
        <f t="shared" si="53"/>
        <v>0</v>
      </c>
      <c r="W39" s="36">
        <f t="shared" si="54"/>
        <v>0.99950517718463106</v>
      </c>
      <c r="X39" s="46"/>
    </row>
    <row r="40" spans="2:24">
      <c r="C40" s="10" t="s">
        <v>7</v>
      </c>
      <c r="D40" s="10"/>
      <c r="E40" s="10"/>
      <c r="F40" s="11">
        <f>SUMIF($B$4:$B$39,"TRUE",F4:F39)</f>
        <v>155295.04999999999</v>
      </c>
      <c r="G40" s="11">
        <f>SUMIF($B$4:$B$39,"TRUE",G4:G39)</f>
        <v>171677.25</v>
      </c>
      <c r="H40" s="11">
        <f>SUMIF($B$4:$B$39,"TRUE",H4:H39)</f>
        <v>145361.25</v>
      </c>
      <c r="I40" s="11">
        <f>SUMIF($B$4:$B$39,"TRUE",I4:I39)</f>
        <v>142818.84999999998</v>
      </c>
      <c r="J40" s="11">
        <f>SUMIF($B$4:$B$39,"TRUE",J4:J39)</f>
        <v>615152.39999999991</v>
      </c>
      <c r="K40" s="12"/>
      <c r="M40" s="11">
        <f>SUMIF($B$4:$B$39,"TRUE",M4:M39)</f>
        <v>158562.44</v>
      </c>
      <c r="N40" s="11">
        <f t="shared" ref="N40:R40" si="90">SUMIF($B$4:$B$39,"TRUE",N4:N39)</f>
        <v>176548.72</v>
      </c>
      <c r="O40" s="11">
        <f t="shared" si="90"/>
        <v>0</v>
      </c>
      <c r="P40" s="11">
        <f t="shared" si="90"/>
        <v>0</v>
      </c>
      <c r="Q40" s="11">
        <f>SUMIF($B$4:$B$39,"TRUE",Q4:Q39)</f>
        <v>335111.16000000003</v>
      </c>
      <c r="R40" s="11">
        <f t="shared" si="90"/>
        <v>280041.24</v>
      </c>
      <c r="S40" s="40">
        <f t="shared" ref="S40:T42" si="91">IFERROR(M40/F40,0)</f>
        <v>1.0210398850446296</v>
      </c>
      <c r="T40" s="40">
        <f t="shared" si="91"/>
        <v>1.0283757457671299</v>
      </c>
      <c r="U40" s="11"/>
      <c r="V40" s="11"/>
      <c r="W40" s="11"/>
      <c r="X40" s="6"/>
    </row>
    <row r="41" spans="2:24">
      <c r="C41" s="13" t="s">
        <v>8</v>
      </c>
      <c r="D41" s="13"/>
      <c r="E41" s="13"/>
      <c r="F41" s="14">
        <f t="shared" ref="F41:I41" si="92">F42-F40</f>
        <v>573492.60000000009</v>
      </c>
      <c r="G41" s="14">
        <f t="shared" si="92"/>
        <v>797585.23</v>
      </c>
      <c r="H41" s="14">
        <f t="shared" si="92"/>
        <v>427251.01020000002</v>
      </c>
      <c r="I41" s="14">
        <f t="shared" si="92"/>
        <v>446500.04020000016</v>
      </c>
      <c r="J41" s="14">
        <f>J42-J40</f>
        <v>2244828.8804000001</v>
      </c>
      <c r="K41" s="15"/>
      <c r="M41" s="14">
        <f>M42-M40</f>
        <v>450545.00000000006</v>
      </c>
      <c r="N41" s="14">
        <f t="shared" ref="N41:R41" si="93">N42-N40</f>
        <v>549540.28</v>
      </c>
      <c r="O41" s="14">
        <f t="shared" si="93"/>
        <v>0</v>
      </c>
      <c r="P41" s="14">
        <f t="shared" si="93"/>
        <v>0</v>
      </c>
      <c r="Q41" s="14">
        <f t="shared" si="93"/>
        <v>1000085.2799999999</v>
      </c>
      <c r="R41" s="14">
        <f t="shared" si="93"/>
        <v>1244743.6003999999</v>
      </c>
      <c r="S41" s="41">
        <f t="shared" si="91"/>
        <v>0.78561606549064444</v>
      </c>
      <c r="T41" s="41">
        <f t="shared" si="91"/>
        <v>0.68900508601444388</v>
      </c>
      <c r="U41" s="14"/>
      <c r="V41" s="14"/>
      <c r="W41" s="14"/>
      <c r="X41" s="6"/>
    </row>
    <row r="42" spans="2:24">
      <c r="C42" s="16" t="s">
        <v>9</v>
      </c>
      <c r="D42" s="16"/>
      <c r="E42" s="16"/>
      <c r="F42" s="17">
        <f>F4+F7+F16+F22+F30+F33+F38</f>
        <v>728787.65</v>
      </c>
      <c r="G42" s="17">
        <f>G4+G7+G16+G22+G30+G33+G38</f>
        <v>969262.48</v>
      </c>
      <c r="H42" s="17">
        <f>H4+H7+H16+H22+H30+H33+H38</f>
        <v>572612.26020000002</v>
      </c>
      <c r="I42" s="17">
        <f>I4+I7+I16+I22+I30+I33+I38</f>
        <v>589318.89020000014</v>
      </c>
      <c r="J42" s="17">
        <f>J4+J7+J16+J22+J30+J33+J38</f>
        <v>2859981.2804</v>
      </c>
      <c r="K42" s="18"/>
      <c r="M42" s="17">
        <f>M4+M7+M16+M22+M30+M33+M38</f>
        <v>609107.44000000006</v>
      </c>
      <c r="N42" s="17">
        <f t="shared" ref="N42:R42" si="94">N4+N7+N16+N22+N30+N33+N38</f>
        <v>726089</v>
      </c>
      <c r="O42" s="17">
        <f t="shared" si="94"/>
        <v>0</v>
      </c>
      <c r="P42" s="17">
        <f t="shared" si="94"/>
        <v>0</v>
      </c>
      <c r="Q42" s="17">
        <f t="shared" si="94"/>
        <v>1335196.44</v>
      </c>
      <c r="R42" s="17">
        <f t="shared" si="94"/>
        <v>1524784.8403999999</v>
      </c>
      <c r="S42" s="42">
        <f t="shared" si="91"/>
        <v>0.8357817808795196</v>
      </c>
      <c r="T42" s="42">
        <f t="shared" si="91"/>
        <v>0.74911493530627538</v>
      </c>
      <c r="U42" s="17"/>
      <c r="V42" s="17"/>
      <c r="W42" s="17"/>
      <c r="X42" s="6"/>
    </row>
    <row r="44" spans="2:24">
      <c r="G44" s="20"/>
    </row>
    <row r="45" spans="2:24">
      <c r="I45" s="20"/>
    </row>
    <row r="46" spans="2:24">
      <c r="C46" s="21"/>
      <c r="D46" s="21"/>
      <c r="E46" s="21"/>
    </row>
    <row r="48" spans="2:24">
      <c r="G48" s="43"/>
      <c r="H48" s="43"/>
      <c r="I48" s="43"/>
    </row>
    <row r="49" spans="7:8">
      <c r="G49" s="44"/>
      <c r="H49" s="44"/>
    </row>
    <row r="50" spans="7:8">
      <c r="G50" s="22"/>
    </row>
    <row r="52" spans="7:8">
      <c r="G52" s="20"/>
    </row>
  </sheetData>
  <mergeCells count="1">
    <mergeCell ref="F1:K1"/>
  </mergeCells>
  <phoneticPr fontId="37" type="noConversion"/>
  <conditionalFormatting sqref="R4:R39">
    <cfRule type="cellIs" dxfId="1" priority="1" operator="lessThan">
      <formula>-0.02</formula>
    </cfRule>
  </conditionalFormatting>
  <conditionalFormatting sqref="R40:R42">
    <cfRule type="cellIs" dxfId="0" priority="2" operator="lessThan">
      <formula>-0.02</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Lisa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upTIS_sisend res.tabelisse_2025 (Jira - sotsiaalministeerium.ee)</dc:title>
  <dc:creator>Kirsika Nahkur</dc:creator>
  <cp:lastModifiedBy>Kirsika Nahkur</cp:lastModifiedBy>
  <dcterms:created xsi:type="dcterms:W3CDTF">2025-04-04T13:41:45Z</dcterms:created>
  <dcterms:modified xsi:type="dcterms:W3CDTF">2026-07-15T12:12:09Z</dcterms:modified>
</cp:coreProperties>
</file>